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Print_Area" localSheetId="2">'WPF_AnalizaWsk_Projektowanie'!$A$8:$AN$104</definedName>
    <definedName name="_xlnm.Print_Area" localSheetId="0">'Zał.1_WPF_bazowy'!$A$7:$AM$104</definedName>
    <definedName name="_xlnm.Print_Titles" localSheetId="2">'WPF_AnalizaWsk_Projektowanie'!$A:$F,'WPF_AnalizaWsk_Projektowanie'!$8:$9</definedName>
    <definedName name="_xlnm.Print_Titles" localSheetId="0">'Zał.1_WPF_bazowy'!$A:$E,'Zał.1_WPF_bazowy'!$8:$9</definedName>
  </definedNames>
  <calcPr fullCalcOnLoad="1"/>
</workbook>
</file>

<file path=xl/sharedStrings.xml><?xml version="1.0" encoding="utf-8"?>
<sst xmlns="http://schemas.openxmlformats.org/spreadsheetml/2006/main" count="3014" uniqueCount="497">
  <si>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</si>
  <si>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</si>
  <si>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</si>
  <si>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</si>
  <si>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</si>
  <si>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</si>
  <si>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</si>
  <si>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</si>
  <si>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</si>
  <si>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</si>
  <si>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</si>
  <si>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</si>
  <si>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</si>
  <si>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</si>
  <si>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</si>
  <si>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</si>
  <si>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</si>
  <si>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</si>
  <si>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</si>
  <si>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</si>
  <si>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</si>
  <si>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</si>
  <si>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</si>
  <si>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</si>
  <si>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</si>
  <si>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</si>
  <si>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</si>
  <si>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</si>
  <si>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</si>
  <si>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</si>
  <si>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</si>
  <si>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</si>
  <si>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</si>
  <si>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</si>
  <si>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</si>
  <si>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(bez wyłączeń)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</si>
  <si>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</si>
  <si>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</si>
  <si>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(bez wyłączeń)</t>
    </r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</si>
  <si>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</si>
  <si>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</si>
  <si>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</si>
  <si>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</si>
  <si>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</si>
  <si>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</si>
  <si>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</si>
  <si>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</si>
  <si>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</si>
  <si>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</si>
  <si>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</si>
  <si>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</si>
  <si>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</si>
  <si>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</si>
  <si>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</si>
  <si>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</si>
  <si>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</si>
  <si>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</si>
  <si>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</si>
  <si>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</si>
  <si>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</si>
  <si>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</si>
  <si>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</si>
  <si>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</si>
  <si>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</si>
  <si>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</si>
  <si>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</si>
  <si>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</si>
  <si>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</si>
  <si>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</si>
  <si>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</si>
  <si>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</si>
  <si>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</si>
  <si>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</si>
  <si>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</si>
  <si>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</si>
  <si>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</si>
  <si>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</si>
  <si>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</si>
  <si>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</si>
  <si>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</si>
  <si>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</si>
  <si>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</si>
  <si>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</si>
  <si>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</si>
  <si>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</si>
  <si>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</si>
  <si>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</si>
  <si>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</si>
  <si>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</si>
  <si>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</si>
  <si>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</si>
  <si>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</si>
  <si>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</si>
  <si>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</si>
  <si>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</si>
  <si>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</si>
  <si>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</si>
  <si>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</si>
  <si>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</si>
  <si>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</si>
  <si>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</si>
  <si>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</si>
  <si>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</si>
  <si>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</si>
  <si>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</si>
  <si>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</si>
  <si>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</si>
  <si>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</si>
  <si>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</si>
  <si>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</si>
  <si>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</si>
  <si>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</si>
  <si>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</si>
  <si>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</si>
  <si>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</si>
  <si>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</si>
  <si>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</si>
  <si>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</si>
  <si>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</si>
  <si>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</si>
  <si>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</si>
  <si>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</si>
  <si>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</si>
  <si>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</si>
  <si>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</si>
  <si>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</si>
  <si>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</si>
  <si>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</si>
  <si>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</si>
  <si>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</si>
  <si>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</si>
  <si>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</si>
  <si>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</si>
  <si>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</si>
  <si>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</si>
  <si>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</si>
  <si>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</si>
  <si>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</si>
  <si>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</si>
  <si>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</si>
  <si>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</si>
  <si>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</si>
  <si>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</si>
  <si>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</si>
  <si>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</si>
  <si>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</si>
  <si>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</si>
  <si>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</si>
  <si>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</si>
  <si>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</si>
  <si>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</si>
  <si>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</si>
  <si>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</si>
  <si>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</si>
  <si>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</si>
  <si>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</si>
  <si>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</si>
  <si>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</si>
  <si>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</si>
  <si>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</si>
  <si>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</si>
  <si>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</si>
  <si>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</si>
  <si>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</si>
  <si>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</si>
  <si>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</si>
  <si>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</si>
  <si>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</si>
  <si>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</si>
  <si>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</si>
  <si>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</si>
  <si>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</si>
  <si>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</si>
  <si>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</si>
  <si>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</si>
  <si>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</si>
  <si>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</si>
  <si>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</si>
  <si>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</si>
  <si>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</si>
  <si>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</si>
  <si>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</si>
  <si>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</si>
  <si>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</si>
  <si>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</si>
  <si>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</si>
  <si>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</si>
  <si>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</si>
  <si>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</si>
  <si>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</si>
  <si>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</si>
  <si>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</si>
  <si>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</si>
  <si>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</si>
  <si>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</si>
  <si>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</si>
  <si>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</si>
  <si>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</si>
  <si>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</si>
  <si>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</si>
  <si>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</si>
  <si>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</si>
  <si>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</si>
  <si>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</si>
  <si>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</si>
  <si>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</si>
  <si>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</si>
  <si>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</si>
  <si>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</si>
  <si>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</si>
  <si>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</si>
  <si>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</si>
  <si>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</si>
  <si>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</si>
  <si>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</si>
  <si>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</si>
  <si>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</si>
  <si>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</si>
  <si>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</si>
  <si>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</si>
  <si>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</si>
  <si>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</si>
  <si>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</si>
  <si>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</si>
  <si>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</si>
  <si>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</si>
  <si>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</si>
  <si>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</si>
  <si>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</si>
  <si>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</si>
  <si>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</si>
  <si>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</si>
  <si>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</si>
  <si>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</si>
  <si>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</si>
  <si>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</si>
  <si>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</si>
  <si>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</si>
  <si>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</si>
  <si>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</si>
  <si>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</si>
  <si>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</si>
  <si>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Łączna kwota wyłączeń z ograniczeń długu określonych w art. 170 ust. 3 ufp z 2005 r. oraz w art.  36 ustawy o zmianie niektórych ustaw związanych z realizacją ustawy budżetowej, w tym: </t>
  </si>
  <si>
    <t xml:space="preserve">kwota wyłączeń z ograniczeń długu określonych w art. 170 ust. 3 ufp         z 2005 r. </t>
  </si>
  <si>
    <t xml:space="preserve">Wskaźnik zadłużenia do dochodów ogółem określony w art. 170 ufp               z 2005 r., bez uwzględniania wyłączeń określonych w pkt 6.1.   </t>
  </si>
  <si>
    <t xml:space="preserve">Wskaźnik zadłużenia do dochodów ogółem, o którym mowa w art.  170 ufp     z 2005 r., po uwzględnieniu wyłączeń określonych w pkt 6.1. </t>
  </si>
  <si>
    <t xml:space="preserve">Wskaźnik planowanej łącznej kwoty spłaty zobowiązań, o której mowa w art. 169 ust. 1 ufp z 2005 r. do dochodów ogółem, bez uwzględnienia wyłączeń określonych w pkt 5.1.1.  </t>
  </si>
  <si>
    <t>Różnica między dochodami bieżącymi, powiększonymi o nadwyżkę budżetową określoną w pkt 4.1. i wolne środki określone w pkt 4.2.  a wydatkami bieżącymi, pomniejszonym o wydatki określone w pkt  2.1.2.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</si>
  <si>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</si>
  <si>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</si>
  <si>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</si>
  <si>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</si>
  <si>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</si>
  <si>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</si>
  <si>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</si>
  <si>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</si>
  <si>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</si>
  <si>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</si>
  <si>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</si>
  <si>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</si>
  <si>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</si>
  <si>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</si>
  <si>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</si>
  <si>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</si>
  <si>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</si>
  <si>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</si>
  <si>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</si>
  <si>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</si>
  <si>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</si>
  <si>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</si>
  <si>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</si>
  <si>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</si>
  <si>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</si>
  <si>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</si>
  <si>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</si>
  <si>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</si>
  <si>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</si>
  <si>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</si>
  <si>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</si>
  <si>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</si>
  <si>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</si>
  <si>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</si>
  <si>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</si>
  <si>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</si>
  <si>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</si>
  <si>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</si>
  <si>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</si>
  <si>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</si>
  <si>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</si>
  <si>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</si>
  <si>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</si>
  <si>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</si>
  <si>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</si>
  <si>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</si>
  <si>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</si>
  <si>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</si>
  <si>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</si>
  <si>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</si>
  <si>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</si>
  <si>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</si>
  <si>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</si>
  <si>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</si>
  <si>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</si>
  <si>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</si>
  <si>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 xml:space="preserve">[13.1] "n" =  obliczone z kol "n-1"  ( [13.1]  -  ( [13.3] + [13.4] + [13.5] + [13.6] ) </t>
  </si>
  <si>
    <t>[6]"n" = [6]"n-1" + [4.3]"n" - [5.1]"n" + ([7]"n"-[7]"n-1") + ([14.2]"n"-[14.2]"n-1") + [14.4]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</si>
  <si>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</si>
  <si>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</si>
  <si>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</si>
  <si>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</si>
  <si>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</si>
  <si>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</si>
  <si>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</si>
  <si>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</si>
  <si>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</si>
  <si>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</si>
  <si>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</si>
  <si>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</si>
  <si>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</si>
  <si>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</si>
  <si>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</si>
  <si>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</si>
  <si>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</si>
  <si>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</si>
  <si>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</si>
  <si>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</si>
  <si>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</si>
  <si>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</si>
  <si>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</si>
  <si>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</si>
  <si>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</si>
  <si>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</si>
  <si>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</si>
  <si>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</si>
  <si>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</si>
  <si>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</si>
  <si>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</si>
  <si>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</si>
  <si>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</si>
  <si>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</si>
  <si>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</si>
  <si>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</si>
  <si>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</si>
  <si>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</si>
  <si>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</si>
  <si>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</si>
  <si>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</si>
  <si>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</si>
  <si>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</si>
  <si>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</si>
  <si>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</si>
  <si>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</si>
  <si>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</si>
  <si>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</si>
  <si>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</si>
  <si>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</si>
  <si>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zobowiązań wynikających z przejęcia przez jst zobowiązań po likwidowanych i przekształcanych SZOZ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</si>
  <si>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</si>
  <si>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</si>
  <si>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</si>
  <si>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</si>
  <si>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</si>
  <si>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</si>
  <si>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</si>
  <si>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</si>
  <si>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</si>
  <si>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</si>
  <si>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</si>
  <si>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</si>
  <si>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</si>
  <si>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</si>
  <si>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</si>
  <si>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</si>
  <si>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</si>
  <si>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</si>
  <si>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</si>
  <si>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</si>
  <si>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</si>
  <si>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</si>
  <si>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</si>
  <si>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</si>
  <si>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</si>
  <si>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</si>
  <si>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</si>
  <si>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</si>
  <si>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</si>
  <si>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</si>
  <si>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</si>
  <si>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</si>
  <si>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</si>
  <si>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</si>
  <si>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</si>
  <si>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</si>
  <si>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</si>
  <si>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</si>
  <si>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</si>
  <si>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</si>
  <si>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</si>
  <si>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</si>
  <si>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</si>
  <si>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</si>
  <si>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</si>
  <si>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</si>
  <si>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</si>
  <si>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</si>
  <si>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</si>
  <si>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</si>
  <si>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</si>
  <si>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</si>
  <si>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</si>
  <si>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</si>
  <si>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</si>
  <si>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</si>
  <si>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</si>
  <si>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</si>
  <si>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</si>
  <si>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</si>
  <si>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</si>
  <si>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</si>
  <si>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</si>
  <si>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</si>
  <si>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</si>
  <si>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</si>
  <si>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</si>
  <si>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</si>
  <si>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</si>
  <si>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</si>
  <si>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</si>
  <si>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</si>
  <si>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</si>
  <si>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</si>
  <si>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</si>
  <si>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</si>
  <si>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</si>
  <si>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</si>
  <si>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</si>
  <si>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</si>
  <si>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</si>
  <si>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</si>
  <si>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Wskaźnik jednoroczny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</si>
  <si>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</si>
  <si>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</si>
  <si>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</si>
  <si>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</si>
  <si>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</si>
  <si>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</si>
  <si>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</si>
  <si>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Kontrola poprawności wyliczenia kwoty długu planowanego do spłaty z wydatków budżetu (różnica nie powinna być dodatnia)</t>
  </si>
  <si>
    <t>Zestawienie wygenerowane na podstawie danych wprowadzonych do systemu BESTI@</t>
  </si>
  <si>
    <t>Niniejsze zestawienie można samodzielnie formatować i modyfikować wartości</t>
  </si>
  <si>
    <t>-</t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</si>
  <si>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</si>
  <si>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</si>
  <si>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</si>
  <si>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</si>
  <si>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</si>
  <si>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</si>
  <si>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</si>
  <si>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Wskaźnik zadłużenia do dochodów ogółem określony w art. 170 ufp z 2005 r.,  bez uwzględniania wyłączeń określonych w pkt 6.1.</t>
  </si>
  <si>
    <r>
      <t xml:space="preserve">Wskaźnik zadłużenia do dochodów ogółem, o którym mowa w art.  170 ufp z 2005 r., </t>
    </r>
    <r>
      <rPr>
        <b/>
        <sz val="9"/>
        <color indexed="8"/>
        <rFont val="Times New Roman"/>
        <family val="1"/>
      </rPr>
      <t xml:space="preserve">po uwzględnieniu wyłączeń określonych w pkt 6.1. </t>
    </r>
  </si>
  <si>
    <t xml:space="preserve">[14.2] "n" =  obliczone z kol ( [14.2]  "n-1"  -  [14.3]"n" )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</si>
  <si>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</si>
  <si>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</si>
  <si>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</si>
  <si>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</si>
  <si>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</si>
  <si>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</si>
  <si>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</si>
  <si>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</si>
  <si>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</si>
  <si>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</si>
  <si>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</si>
  <si>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</si>
  <si>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mmmmmmmmm</t>
  </si>
  <si>
    <t>DOBROŃ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</si>
  <si>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</si>
  <si>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[11.3.1] + [11.3.2]</t>
  </si>
  <si>
    <t>[6] / [1]</t>
  </si>
  <si>
    <t>( [1.1] -  ( [2.1]  - [2.1.2] ) + [1.2.1] ) / [1]</t>
  </si>
  <si>
    <t>([2.1.1] + [2.1.3.1] + [5.1] - [5.1.1] ) / [1]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</si>
  <si>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</si>
  <si>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</si>
  <si>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</si>
  <si>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([6] - [6.1]) / [1]</t>
  </si>
  <si>
    <t>[5.1] + [5.2]</t>
  </si>
  <si>
    <t>([2.1.1]+[2.1.3.1] + [5.1]+[9.5]-[5.1.1] )/[1]</t>
  </si>
  <si>
    <t>[1.1] - [2.1]</t>
  </si>
  <si>
    <t>[2.1] + [2.2]</t>
  </si>
  <si>
    <t>[9.6] - [9.7]</t>
  </si>
  <si>
    <t>[1] -[2]</t>
  </si>
  <si>
    <t>[1.1] + [4.1] + [4.2] - (  [2.1] - [2.1.2]  )</t>
  </si>
  <si>
    <t>[9.6] - [9.7.1]</t>
  </si>
  <si>
    <t>[1.1] + [1.2]</t>
  </si>
  <si>
    <t>[4.1] + [4.2] + [4.3] + [4.4]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</si>
  <si>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</si>
  <si>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</si>
  <si>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 xml:space="preserve">Załącznik Nr 1 do Uchwały  Nr  XXX/228/2013 Rady Gminy w Dobroniu z dnia 18 czerwca 2013 r.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</si>
</sst>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zcionka tekstu podstawowego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9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0"/>
      <name val="Calibri"/>
      <family val="2"/>
    </font>
    <font>
      <sz val="9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8" fillId="22" borderId="0" applyNumberFormat="0" applyBorder="0" applyAlignment="0" applyProtection="0"/>
    <xf numFmtId="0" fontId="69" fillId="24" borderId="0" applyNumberFormat="0" applyBorder="0" applyAlignment="0" applyProtection="0"/>
    <xf numFmtId="0" fontId="11" fillId="25" borderId="0" applyNumberFormat="0" applyBorder="0" applyAlignment="0" applyProtection="0"/>
    <xf numFmtId="0" fontId="70" fillId="24" borderId="0" applyNumberFormat="0" applyBorder="0" applyAlignment="0" applyProtection="0"/>
    <xf numFmtId="0" fontId="69" fillId="26" borderId="0" applyNumberFormat="0" applyBorder="0" applyAlignment="0" applyProtection="0"/>
    <xf numFmtId="0" fontId="11" fillId="17" borderId="0" applyNumberFormat="0" applyBorder="0" applyAlignment="0" applyProtection="0"/>
    <xf numFmtId="0" fontId="70" fillId="26" borderId="0" applyNumberFormat="0" applyBorder="0" applyAlignment="0" applyProtection="0"/>
    <xf numFmtId="0" fontId="69" fillId="27" borderId="0" applyNumberFormat="0" applyBorder="0" applyAlignment="0" applyProtection="0"/>
    <xf numFmtId="0" fontId="11" fillId="19" borderId="0" applyNumberFormat="0" applyBorder="0" applyAlignment="0" applyProtection="0"/>
    <xf numFmtId="0" fontId="70" fillId="27" borderId="0" applyNumberFormat="0" applyBorder="0" applyAlignment="0" applyProtection="0"/>
    <xf numFmtId="0" fontId="69" fillId="28" borderId="0" applyNumberFormat="0" applyBorder="0" applyAlignment="0" applyProtection="0"/>
    <xf numFmtId="0" fontId="11" fillId="29" borderId="0" applyNumberFormat="0" applyBorder="0" applyAlignment="0" applyProtection="0"/>
    <xf numFmtId="0" fontId="70" fillId="28" borderId="0" applyNumberFormat="0" applyBorder="0" applyAlignment="0" applyProtection="0"/>
    <xf numFmtId="0" fontId="69" fillId="30" borderId="0" applyNumberFormat="0" applyBorder="0" applyAlignment="0" applyProtection="0"/>
    <xf numFmtId="0" fontId="11" fillId="31" borderId="0" applyNumberFormat="0" applyBorder="0" applyAlignment="0" applyProtection="0"/>
    <xf numFmtId="0" fontId="70" fillId="30" borderId="0" applyNumberFormat="0" applyBorder="0" applyAlignment="0" applyProtection="0"/>
    <xf numFmtId="0" fontId="69" fillId="32" borderId="0" applyNumberFormat="0" applyBorder="0" applyAlignment="0" applyProtection="0"/>
    <xf numFmtId="0" fontId="11" fillId="33" borderId="0" applyNumberFormat="0" applyBorder="0" applyAlignment="0" applyProtection="0"/>
    <xf numFmtId="0" fontId="70" fillId="32" borderId="0" applyNumberFormat="0" applyBorder="0" applyAlignment="0" applyProtection="0"/>
    <xf numFmtId="0" fontId="69" fillId="34" borderId="0" applyNumberFormat="0" applyBorder="0" applyAlignment="0" applyProtection="0"/>
    <xf numFmtId="0" fontId="11" fillId="35" borderId="0" applyNumberFormat="0" applyBorder="0" applyAlignment="0" applyProtection="0"/>
    <xf numFmtId="0" fontId="70" fillId="34" borderId="0" applyNumberFormat="0" applyBorder="0" applyAlignment="0" applyProtection="0"/>
    <xf numFmtId="0" fontId="69" fillId="36" borderId="0" applyNumberFormat="0" applyBorder="0" applyAlignment="0" applyProtection="0"/>
    <xf numFmtId="0" fontId="11" fillId="37" borderId="0" applyNumberFormat="0" applyBorder="0" applyAlignment="0" applyProtection="0"/>
    <xf numFmtId="0" fontId="70" fillId="36" borderId="0" applyNumberFormat="0" applyBorder="0" applyAlignment="0" applyProtection="0"/>
    <xf numFmtId="0" fontId="69" fillId="38" borderId="0" applyNumberFormat="0" applyBorder="0" applyAlignment="0" applyProtection="0"/>
    <xf numFmtId="0" fontId="11" fillId="39" borderId="0" applyNumberFormat="0" applyBorder="0" applyAlignment="0" applyProtection="0"/>
    <xf numFmtId="0" fontId="70" fillId="38" borderId="0" applyNumberFormat="0" applyBorder="0" applyAlignment="0" applyProtection="0"/>
    <xf numFmtId="0" fontId="69" fillId="40" borderId="0" applyNumberFormat="0" applyBorder="0" applyAlignment="0" applyProtection="0"/>
    <xf numFmtId="0" fontId="11" fillId="29" borderId="0" applyNumberFormat="0" applyBorder="0" applyAlignment="0" applyProtection="0"/>
    <xf numFmtId="0" fontId="70" fillId="40" borderId="0" applyNumberFormat="0" applyBorder="0" applyAlignment="0" applyProtection="0"/>
    <xf numFmtId="0" fontId="69" fillId="41" borderId="0" applyNumberFormat="0" applyBorder="0" applyAlignment="0" applyProtection="0"/>
    <xf numFmtId="0" fontId="11" fillId="31" borderId="0" applyNumberFormat="0" applyBorder="0" applyAlignment="0" applyProtection="0"/>
    <xf numFmtId="0" fontId="70" fillId="41" borderId="0" applyNumberFormat="0" applyBorder="0" applyAlignment="0" applyProtection="0"/>
    <xf numFmtId="0" fontId="69" fillId="42" borderId="0" applyNumberFormat="0" applyBorder="0" applyAlignment="0" applyProtection="0"/>
    <xf numFmtId="0" fontId="11" fillId="43" borderId="0" applyNumberFormat="0" applyBorder="0" applyAlignment="0" applyProtection="0"/>
    <xf numFmtId="0" fontId="70" fillId="42" borderId="0" applyNumberFormat="0" applyBorder="0" applyAlignment="0" applyProtection="0"/>
    <xf numFmtId="0" fontId="71" fillId="44" borderId="1" applyNumberFormat="0" applyAlignment="0" applyProtection="0"/>
    <xf numFmtId="0" fontId="12" fillId="13" borderId="2" applyNumberFormat="0" applyAlignment="0" applyProtection="0"/>
    <xf numFmtId="0" fontId="72" fillId="44" borderId="1" applyNumberFormat="0" applyAlignment="0" applyProtection="0"/>
    <xf numFmtId="0" fontId="73" fillId="45" borderId="3" applyNumberFormat="0" applyAlignment="0" applyProtection="0"/>
    <xf numFmtId="0" fontId="13" fillId="46" borderId="4" applyNumberFormat="0" applyAlignment="0" applyProtection="0"/>
    <xf numFmtId="0" fontId="74" fillId="45" borderId="3" applyNumberFormat="0" applyAlignment="0" applyProtection="0"/>
    <xf numFmtId="0" fontId="75" fillId="47" borderId="0" applyNumberFormat="0" applyBorder="0" applyAlignment="0" applyProtection="0"/>
    <xf numFmtId="0" fontId="14" fillId="7" borderId="0" applyNumberFormat="0" applyBorder="0" applyAlignment="0" applyProtection="0"/>
    <xf numFmtId="0" fontId="7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15" fillId="0" borderId="6" applyNumberFormat="0" applyFill="0" applyAlignment="0" applyProtection="0"/>
    <xf numFmtId="0" fontId="78" fillId="0" borderId="5" applyNumberFormat="0" applyFill="0" applyAlignment="0" applyProtection="0"/>
    <xf numFmtId="0" fontId="79" fillId="48" borderId="7" applyNumberFormat="0" applyAlignment="0" applyProtection="0"/>
    <xf numFmtId="0" fontId="16" fillId="49" borderId="8" applyNumberFormat="0" applyAlignment="0" applyProtection="0"/>
    <xf numFmtId="0" fontId="80" fillId="48" borderId="7" applyNumberFormat="0" applyAlignment="0" applyProtection="0"/>
    <xf numFmtId="0" fontId="81" fillId="0" borderId="9" applyNumberFormat="0" applyFill="0" applyAlignment="0" applyProtection="0"/>
    <xf numFmtId="0" fontId="17" fillId="0" borderId="10" applyNumberFormat="0" applyFill="0" applyAlignment="0" applyProtection="0"/>
    <xf numFmtId="0" fontId="82" fillId="0" borderId="9" applyNumberFormat="0" applyFill="0" applyAlignment="0" applyProtection="0"/>
    <xf numFmtId="0" fontId="83" fillId="0" borderId="11" applyNumberFormat="0" applyFill="0" applyAlignment="0" applyProtection="0"/>
    <xf numFmtId="0" fontId="18" fillId="0" borderId="12" applyNumberFormat="0" applyFill="0" applyAlignment="0" applyProtection="0"/>
    <xf numFmtId="0" fontId="84" fillId="0" borderId="11" applyNumberFormat="0" applyFill="0" applyAlignment="0" applyProtection="0"/>
    <xf numFmtId="0" fontId="85" fillId="0" borderId="13" applyNumberFormat="0" applyFill="0" applyAlignment="0" applyProtection="0"/>
    <xf numFmtId="0" fontId="19" fillId="0" borderId="14" applyNumberFormat="0" applyFill="0" applyAlignment="0" applyProtection="0"/>
    <xf numFmtId="0" fontId="86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50" borderId="0" applyNumberFormat="0" applyBorder="0" applyAlignment="0" applyProtection="0"/>
    <xf numFmtId="0" fontId="20" fillId="51" borderId="0" applyNumberFormat="0" applyBorder="0" applyAlignment="0" applyProtection="0"/>
    <xf numFmtId="0" fontId="8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8" fillId="0" borderId="0">
      <alignment/>
      <protection/>
    </xf>
    <xf numFmtId="0" fontId="89" fillId="45" borderId="1" applyNumberFormat="0" applyAlignment="0" applyProtection="0"/>
    <xf numFmtId="0" fontId="21" fillId="46" borderId="2" applyNumberFormat="0" applyAlignment="0" applyProtection="0"/>
    <xf numFmtId="0" fontId="9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1" fillId="0" borderId="15" applyNumberFormat="0" applyFill="0" applyAlignment="0" applyProtection="0"/>
    <xf numFmtId="0" fontId="10" fillId="0" borderId="16" applyNumberFormat="0" applyFill="0" applyAlignment="0" applyProtection="0"/>
    <xf numFmtId="0" fontId="92" fillId="0" borderId="15" applyNumberFormat="0" applyFill="0" applyAlignment="0" applyProtection="0"/>
    <xf numFmtId="0" fontId="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8" fillId="54" borderId="0" applyNumberFormat="0" applyBorder="0" applyAlignment="0" applyProtection="0"/>
    <xf numFmtId="0" fontId="25" fillId="5" borderId="0" applyNumberFormat="0" applyBorder="0" applyAlignment="0" applyProtection="0"/>
    <xf numFmtId="0" fontId="99" fillId="54" borderId="0" applyNumberFormat="0" applyBorder="0" applyAlignment="0" applyProtection="0"/>
  </cellStyleXfs>
  <cellXfs count="65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1" fillId="0" borderId="0" xfId="0" applyFont="1" applyAlignment="1">
      <alignment/>
    </xf>
    <xf numFmtId="0" fontId="100" fillId="0" borderId="19" xfId="0" applyNumberFormat="1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1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102" fillId="0" borderId="0" xfId="0" applyNumberFormat="1" applyFont="1" applyAlignment="1">
      <alignment horizontal="center" vertical="center"/>
    </xf>
    <xf numFmtId="166" fontId="102" fillId="0" borderId="0" xfId="0" applyNumberFormat="1" applyFont="1" applyAlignment="1">
      <alignment vertical="center"/>
    </xf>
    <xf numFmtId="2" fontId="102" fillId="0" borderId="0" xfId="0" applyNumberFormat="1" applyFont="1" applyAlignment="1">
      <alignment vertical="center"/>
    </xf>
    <xf numFmtId="49" fontId="102" fillId="0" borderId="0" xfId="0" applyNumberFormat="1" applyFont="1" applyAlignment="1">
      <alignment vertical="center"/>
    </xf>
    <xf numFmtId="0" fontId="102" fillId="0" borderId="0" xfId="0" applyFont="1" applyAlignment="1">
      <alignment vertical="center"/>
    </xf>
    <xf numFmtId="14" fontId="10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3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102" fillId="0" borderId="0" xfId="0" applyFont="1" applyAlignment="1">
      <alignment horizontal="center" vertical="center"/>
    </xf>
    <xf numFmtId="0" fontId="102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0" fontId="104" fillId="0" borderId="24" xfId="0" applyFont="1" applyBorder="1" applyAlignment="1">
      <alignment horizontal="right" vertical="center"/>
    </xf>
    <xf numFmtId="0" fontId="104" fillId="0" borderId="25" xfId="0" applyFont="1" applyBorder="1" applyAlignment="1">
      <alignment horizontal="right" vertical="center"/>
    </xf>
    <xf numFmtId="0" fontId="104" fillId="0" borderId="26" xfId="0" applyFont="1" applyBorder="1" applyAlignment="1">
      <alignment horizontal="right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1" fontId="27" fillId="58" borderId="28" xfId="131" applyNumberFormat="1" applyFont="1" applyFill="1" applyBorder="1" applyAlignment="1">
      <alignment horizontal="center" vertical="center"/>
      <protection/>
    </xf>
    <xf numFmtId="1" fontId="27" fillId="58" borderId="29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1" fillId="0" borderId="0" xfId="0" applyFont="1" applyAlignment="1">
      <alignment/>
    </xf>
    <xf numFmtId="0" fontId="104" fillId="0" borderId="25" xfId="0" applyFont="1" applyBorder="1" applyAlignment="1">
      <alignment horizontal="left" vertical="center" wrapText="1"/>
    </xf>
    <xf numFmtId="1" fontId="27" fillId="58" borderId="30" xfId="131" applyNumberFormat="1" applyFont="1" applyFill="1" applyBorder="1" applyAlignment="1">
      <alignment horizontal="center" vertical="center"/>
      <protection/>
    </xf>
    <xf numFmtId="49" fontId="27" fillId="58" borderId="28" xfId="131" applyNumberFormat="1" applyFont="1" applyFill="1" applyBorder="1" applyAlignment="1">
      <alignment horizontal="center" vertical="center" wrapText="1"/>
      <protection/>
    </xf>
    <xf numFmtId="49" fontId="27" fillId="58" borderId="29" xfId="131" applyNumberFormat="1" applyFont="1" applyFill="1" applyBorder="1" applyAlignment="1">
      <alignment horizontal="center" vertical="center" wrapText="1"/>
      <protection/>
    </xf>
    <xf numFmtId="0" fontId="105" fillId="0" borderId="31" xfId="0" applyFont="1" applyBorder="1" applyAlignment="1">
      <alignment horizontal="left" vertical="center"/>
    </xf>
    <xf numFmtId="0" fontId="104" fillId="0" borderId="31" xfId="0" applyFont="1" applyBorder="1" applyAlignment="1">
      <alignment horizontal="left" vertical="center"/>
    </xf>
    <xf numFmtId="0" fontId="104" fillId="0" borderId="32" xfId="0" applyFont="1" applyBorder="1" applyAlignment="1">
      <alignment horizontal="left" vertical="center"/>
    </xf>
    <xf numFmtId="166" fontId="3" fillId="59" borderId="33" xfId="131" applyNumberFormat="1" applyFont="1" applyFill="1" applyBorder="1" applyAlignment="1">
      <alignment vertical="center" shrinkToFit="1"/>
      <protection/>
    </xf>
    <xf numFmtId="166" fontId="3" fillId="59" borderId="34" xfId="131" applyNumberFormat="1" applyFont="1" applyFill="1" applyBorder="1" applyAlignment="1">
      <alignment vertical="center" shrinkToFit="1"/>
      <protection/>
    </xf>
    <xf numFmtId="166" fontId="3" fillId="0" borderId="35" xfId="131" applyNumberFormat="1" applyFont="1" applyFill="1" applyBorder="1" applyAlignment="1">
      <alignment vertical="center" shrinkToFit="1"/>
      <protection/>
    </xf>
    <xf numFmtId="166" fontId="3" fillId="0" borderId="33" xfId="131" applyNumberFormat="1" applyFont="1" applyFill="1" applyBorder="1" applyAlignment="1">
      <alignment vertical="center" shrinkToFit="1"/>
      <protection/>
    </xf>
    <xf numFmtId="166" fontId="3" fillId="0" borderId="34" xfId="131" applyNumberFormat="1" applyFont="1" applyFill="1" applyBorder="1" applyAlignment="1">
      <alignment vertical="center" shrinkToFit="1"/>
      <protection/>
    </xf>
    <xf numFmtId="166" fontId="2" fillId="59" borderId="33" xfId="131" applyNumberFormat="1" applyFont="1" applyFill="1" applyBorder="1" applyAlignment="1">
      <alignment vertical="center" shrinkToFit="1"/>
      <protection/>
    </xf>
    <xf numFmtId="166" fontId="2" fillId="59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166" fontId="2" fillId="0" borderId="34" xfId="131" applyNumberFormat="1" applyFont="1" applyFill="1" applyBorder="1" applyAlignment="1">
      <alignment vertical="center" shrinkToFit="1"/>
      <protection/>
    </xf>
    <xf numFmtId="166" fontId="2" fillId="59" borderId="33" xfId="131" applyNumberFormat="1" applyFont="1" applyFill="1" applyBorder="1" applyAlignment="1">
      <alignment horizontal="center" vertical="center" shrinkToFit="1"/>
      <protection/>
    </xf>
    <xf numFmtId="166" fontId="2" fillId="59" borderId="34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33" xfId="131" applyNumberFormat="1" applyFont="1" applyFill="1" applyBorder="1" applyAlignment="1">
      <alignment vertical="center" shrinkToFit="1"/>
      <protection/>
    </xf>
    <xf numFmtId="175" fontId="2" fillId="59" borderId="34" xfId="131" applyNumberFormat="1" applyFont="1" applyFill="1" applyBorder="1" applyAlignment="1">
      <alignment vertical="center" shrinkToFit="1"/>
      <protection/>
    </xf>
    <xf numFmtId="175" fontId="2" fillId="0" borderId="35" xfId="131" applyNumberFormat="1" applyFont="1" applyFill="1" applyBorder="1" applyAlignment="1">
      <alignment vertical="center" shrinkToFit="1"/>
      <protection/>
    </xf>
    <xf numFmtId="175" fontId="2" fillId="0" borderId="33" xfId="131" applyNumberFormat="1" applyFont="1" applyFill="1" applyBorder="1" applyAlignment="1">
      <alignment vertical="center" shrinkToFit="1"/>
      <protection/>
    </xf>
    <xf numFmtId="175" fontId="2" fillId="0" borderId="34" xfId="131" applyNumberFormat="1" applyFont="1" applyFill="1" applyBorder="1" applyAlignment="1">
      <alignment vertical="center" shrinkToFit="1"/>
      <protection/>
    </xf>
    <xf numFmtId="166" fontId="3" fillId="59" borderId="33" xfId="131" applyNumberFormat="1" applyFont="1" applyFill="1" applyBorder="1" applyAlignment="1">
      <alignment horizontal="center" vertical="center" shrinkToFit="1"/>
      <protection/>
    </xf>
    <xf numFmtId="166" fontId="3" fillId="59" borderId="34" xfId="131" applyNumberFormat="1" applyFont="1" applyFill="1" applyBorder="1" applyAlignment="1">
      <alignment horizontal="center" vertical="center" shrinkToFit="1"/>
      <protection/>
    </xf>
    <xf numFmtId="166" fontId="3" fillId="0" borderId="35" xfId="131" applyNumberFormat="1" applyFont="1" applyFill="1" applyBorder="1" applyAlignment="1">
      <alignment horizontal="center" vertical="center" shrinkToFit="1"/>
      <protection/>
    </xf>
    <xf numFmtId="166" fontId="3" fillId="0" borderId="33" xfId="131" applyNumberFormat="1" applyFont="1" applyFill="1" applyBorder="1" applyAlignment="1">
      <alignment horizontal="center" vertical="center" shrinkToFit="1"/>
      <protection/>
    </xf>
    <xf numFmtId="166" fontId="3" fillId="0" borderId="34" xfId="131" applyNumberFormat="1" applyFont="1" applyFill="1" applyBorder="1" applyAlignment="1">
      <alignment horizontal="center" vertical="center" shrinkToFit="1"/>
      <protection/>
    </xf>
    <xf numFmtId="166" fontId="2" fillId="59" borderId="36" xfId="131" applyNumberFormat="1" applyFont="1" applyFill="1" applyBorder="1" applyAlignment="1">
      <alignment vertical="center" shrinkToFit="1"/>
      <protection/>
    </xf>
    <xf numFmtId="166" fontId="2" fillId="59" borderId="37" xfId="131" applyNumberFormat="1" applyFont="1" applyFill="1" applyBorder="1" applyAlignment="1">
      <alignment vertical="center" shrinkToFit="1"/>
      <protection/>
    </xf>
    <xf numFmtId="166" fontId="2" fillId="0" borderId="38" xfId="131" applyNumberFormat="1" applyFont="1" applyFill="1" applyBorder="1" applyAlignment="1">
      <alignment vertical="center" shrinkToFit="1"/>
      <protection/>
    </xf>
    <xf numFmtId="166" fontId="2" fillId="0" borderId="36" xfId="131" applyNumberFormat="1" applyFont="1" applyFill="1" applyBorder="1" applyAlignment="1">
      <alignment vertical="center" shrinkToFit="1"/>
      <protection/>
    </xf>
    <xf numFmtId="166" fontId="2" fillId="0" borderId="37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104" fillId="0" borderId="25" xfId="0" applyFont="1" applyBorder="1" applyAlignment="1">
      <alignment horizontal="left" vertical="center" wrapText="1"/>
    </xf>
    <xf numFmtId="0" fontId="10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0" fillId="60" borderId="39" xfId="0" applyFont="1" applyFill="1" applyBorder="1" applyAlignment="1">
      <alignment horizontal="left" vertical="center" wrapText="1"/>
    </xf>
    <xf numFmtId="0" fontId="30" fillId="60" borderId="24" xfId="0" applyFont="1" applyFill="1" applyBorder="1" applyAlignment="1">
      <alignment horizontal="left" vertical="center" wrapText="1"/>
    </xf>
    <xf numFmtId="0" fontId="30" fillId="56" borderId="24" xfId="0" applyFont="1" applyFill="1" applyBorder="1" applyAlignment="1">
      <alignment horizontal="left" vertical="center" wrapText="1"/>
    </xf>
    <xf numFmtId="0" fontId="30" fillId="55" borderId="24" xfId="0" applyFont="1" applyFill="1" applyBorder="1" applyAlignment="1">
      <alignment horizontal="left" vertical="center" wrapText="1"/>
    </xf>
    <xf numFmtId="0" fontId="30" fillId="55" borderId="26" xfId="0" applyFont="1" applyFill="1" applyBorder="1" applyAlignment="1">
      <alignment horizontal="left" vertical="center" wrapText="1"/>
    </xf>
    <xf numFmtId="0" fontId="104" fillId="0" borderId="25" xfId="0" applyFont="1" applyBorder="1" applyAlignment="1">
      <alignment vertical="center" wrapText="1"/>
    </xf>
    <xf numFmtId="49" fontId="27" fillId="58" borderId="27" xfId="131" applyNumberFormat="1" applyFont="1" applyFill="1" applyBorder="1" applyAlignment="1">
      <alignment horizontal="center" vertical="center" wrapText="1"/>
      <protection/>
    </xf>
    <xf numFmtId="166" fontId="3" fillId="59" borderId="31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horizontal="center" vertical="center" shrinkToFit="1"/>
      <protection/>
    </xf>
    <xf numFmtId="175" fontId="2" fillId="59" borderId="31" xfId="131" applyNumberFormat="1" applyFont="1" applyFill="1" applyBorder="1" applyAlignment="1">
      <alignment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2" fillId="59" borderId="32" xfId="131" applyNumberFormat="1" applyFont="1" applyFill="1" applyBorder="1" applyAlignment="1">
      <alignment vertical="center" shrinkToFit="1"/>
      <protection/>
    </xf>
    <xf numFmtId="0" fontId="103" fillId="59" borderId="27" xfId="0" applyFont="1" applyFill="1" applyBorder="1" applyAlignment="1">
      <alignment vertical="center" wrapText="1"/>
    </xf>
    <xf numFmtId="0" fontId="103" fillId="59" borderId="28" xfId="0" applyFont="1" applyFill="1" applyBorder="1" applyAlignment="1">
      <alignment vertical="center" wrapText="1"/>
    </xf>
    <xf numFmtId="0" fontId="103" fillId="59" borderId="31" xfId="0" applyFont="1" applyFill="1" applyBorder="1" applyAlignment="1">
      <alignment vertical="center" wrapText="1"/>
    </xf>
    <xf numFmtId="0" fontId="103" fillId="59" borderId="33" xfId="0" applyFont="1" applyFill="1" applyBorder="1" applyAlignment="1">
      <alignment vertical="center" wrapText="1"/>
    </xf>
    <xf numFmtId="0" fontId="103" fillId="59" borderId="32" xfId="0" applyFont="1" applyFill="1" applyBorder="1" applyAlignment="1">
      <alignment vertical="center" wrapText="1"/>
    </xf>
    <xf numFmtId="0" fontId="103" fillId="59" borderId="36" xfId="0" applyFont="1" applyFill="1" applyBorder="1" applyAlignment="1">
      <alignment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03" fillId="59" borderId="29" xfId="0" applyFont="1" applyFill="1" applyBorder="1" applyAlignment="1">
      <alignment vertical="center" wrapText="1"/>
    </xf>
    <xf numFmtId="0" fontId="103" fillId="59" borderId="34" xfId="0" applyFont="1" applyFill="1" applyBorder="1" applyAlignment="1">
      <alignment vertical="center" wrapText="1"/>
    </xf>
    <xf numFmtId="0" fontId="103" fillId="59" borderId="37" xfId="0" applyFont="1" applyFill="1" applyBorder="1" applyAlignment="1">
      <alignment vertical="center" wrapText="1"/>
    </xf>
    <xf numFmtId="169" fontId="3" fillId="0" borderId="30" xfId="138" applyNumberFormat="1" applyFont="1" applyFill="1" applyBorder="1" applyAlignment="1">
      <alignment horizontal="right" vertical="center" wrapText="1"/>
    </xf>
    <xf numFmtId="169" fontId="3" fillId="0" borderId="28" xfId="138" applyNumberFormat="1" applyFont="1" applyFill="1" applyBorder="1" applyAlignment="1">
      <alignment horizontal="right" vertical="center" wrapText="1"/>
    </xf>
    <xf numFmtId="169" fontId="3" fillId="0" borderId="29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38" xfId="138" applyNumberFormat="1" applyFont="1" applyFill="1" applyBorder="1" applyAlignment="1">
      <alignment horizontal="right" vertical="center" wrapText="1"/>
    </xf>
    <xf numFmtId="169" fontId="2" fillId="0" borderId="36" xfId="138" applyNumberFormat="1" applyFont="1" applyFill="1" applyBorder="1" applyAlignment="1">
      <alignment horizontal="right" vertical="center" wrapText="1"/>
    </xf>
    <xf numFmtId="169" fontId="2" fillId="0" borderId="37" xfId="138" applyNumberFormat="1" applyFont="1" applyFill="1" applyBorder="1" applyAlignment="1">
      <alignment horizontal="right" vertical="center" wrapText="1"/>
    </xf>
    <xf numFmtId="169" fontId="2" fillId="0" borderId="30" xfId="138" applyNumberFormat="1" applyFont="1" applyFill="1" applyBorder="1" applyAlignment="1">
      <alignment horizontal="right" vertical="center" wrapText="1"/>
    </xf>
    <xf numFmtId="169" fontId="2" fillId="0" borderId="28" xfId="138" applyNumberFormat="1" applyFont="1" applyFill="1" applyBorder="1" applyAlignment="1">
      <alignment horizontal="right" vertical="center" wrapText="1"/>
    </xf>
    <xf numFmtId="169" fontId="2" fillId="0" borderId="29" xfId="138" applyNumberFormat="1" applyFont="1" applyFill="1" applyBorder="1" applyAlignment="1">
      <alignment horizontal="right" vertical="center" wrapText="1"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3" fillId="59" borderId="28" xfId="131" applyNumberFormat="1" applyFont="1" applyFill="1" applyBorder="1" applyAlignment="1">
      <alignment horizontal="right" vertical="center" wrapText="1"/>
      <protection/>
    </xf>
    <xf numFmtId="169" fontId="3" fillId="59" borderId="29" xfId="131" applyNumberFormat="1" applyFont="1" applyFill="1" applyBorder="1" applyAlignment="1">
      <alignment horizontal="right" vertical="center" wrapText="1"/>
      <protection/>
    </xf>
    <xf numFmtId="169" fontId="2" fillId="59" borderId="31" xfId="131" applyNumberFormat="1" applyFont="1" applyFill="1" applyBorder="1" applyAlignment="1">
      <alignment horizontal="right" vertical="center" wrapText="1"/>
      <protection/>
    </xf>
    <xf numFmtId="169" fontId="2" fillId="59" borderId="33" xfId="131" applyNumberFormat="1" applyFont="1" applyFill="1" applyBorder="1" applyAlignment="1">
      <alignment horizontal="right" vertical="center" wrapText="1"/>
      <protection/>
    </xf>
    <xf numFmtId="169" fontId="2" fillId="59" borderId="34" xfId="131" applyNumberFormat="1" applyFont="1" applyFill="1" applyBorder="1" applyAlignment="1">
      <alignment horizontal="right" vertical="center" wrapText="1"/>
      <protection/>
    </xf>
    <xf numFmtId="169" fontId="3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3" xfId="131" applyNumberFormat="1" applyFont="1" applyFill="1" applyBorder="1" applyAlignment="1">
      <alignment horizontal="right" vertical="center" wrapText="1"/>
      <protection/>
    </xf>
    <xf numFmtId="169" fontId="3" fillId="59" borderId="34" xfId="131" applyNumberFormat="1" applyFont="1" applyFill="1" applyBorder="1" applyAlignment="1">
      <alignment horizontal="right" vertical="center" wrapText="1"/>
      <protection/>
    </xf>
    <xf numFmtId="169" fontId="3" fillId="59" borderId="32" xfId="131" applyNumberFormat="1" applyFont="1" applyFill="1" applyBorder="1" applyAlignment="1">
      <alignment horizontal="right" vertical="center" wrapText="1"/>
      <protection/>
    </xf>
    <xf numFmtId="169" fontId="3" fillId="59" borderId="36" xfId="131" applyNumberFormat="1" applyFont="1" applyFill="1" applyBorder="1" applyAlignment="1">
      <alignment horizontal="right" vertical="center" wrapText="1"/>
      <protection/>
    </xf>
    <xf numFmtId="169" fontId="3" fillId="59" borderId="37" xfId="131" applyNumberFormat="1" applyFont="1" applyFill="1" applyBorder="1" applyAlignment="1">
      <alignment horizontal="right" vertical="center" wrapText="1"/>
      <protection/>
    </xf>
    <xf numFmtId="169" fontId="2" fillId="59" borderId="32" xfId="131" applyNumberFormat="1" applyFont="1" applyFill="1" applyBorder="1" applyAlignment="1">
      <alignment horizontal="right" vertical="center" wrapText="1"/>
      <protection/>
    </xf>
    <xf numFmtId="169" fontId="2" fillId="59" borderId="36" xfId="131" applyNumberFormat="1" applyFont="1" applyFill="1" applyBorder="1" applyAlignment="1">
      <alignment horizontal="right" vertical="center" wrapText="1"/>
      <protection/>
    </xf>
    <xf numFmtId="169" fontId="2" fillId="59" borderId="37" xfId="131" applyNumberFormat="1" applyFont="1" applyFill="1" applyBorder="1" applyAlignment="1">
      <alignment horizontal="right" vertical="center" wrapText="1"/>
      <protection/>
    </xf>
    <xf numFmtId="0" fontId="101" fillId="0" borderId="35" xfId="0" applyNumberFormat="1" applyFont="1" applyFill="1" applyBorder="1" applyAlignment="1">
      <alignment horizontal="center" vertical="center"/>
    </xf>
    <xf numFmtId="0" fontId="101" fillId="0" borderId="33" xfId="0" applyNumberFormat="1" applyFont="1" applyFill="1" applyBorder="1" applyAlignment="1">
      <alignment horizontal="center" vertical="center"/>
    </xf>
    <xf numFmtId="0" fontId="101" fillId="0" borderId="34" xfId="0" applyNumberFormat="1" applyFont="1" applyFill="1" applyBorder="1" applyAlignment="1">
      <alignment horizontal="center" vertical="center"/>
    </xf>
    <xf numFmtId="0" fontId="103" fillId="59" borderId="31" xfId="0" applyFont="1" applyFill="1" applyBorder="1" applyAlignment="1">
      <alignment vertical="center"/>
    </xf>
    <xf numFmtId="166" fontId="3" fillId="61" borderId="35" xfId="131" applyNumberFormat="1" applyFont="1" applyFill="1" applyBorder="1" applyAlignment="1" applyProtection="1">
      <alignment vertical="center" shrinkToFit="1"/>
      <protection/>
    </xf>
    <xf numFmtId="166" fontId="3" fillId="61" borderId="33" xfId="131" applyNumberFormat="1" applyFont="1" applyFill="1" applyBorder="1" applyAlignment="1" applyProtection="1">
      <alignment vertical="center" shrinkToFit="1"/>
      <protection/>
    </xf>
    <xf numFmtId="166" fontId="3" fillId="61" borderId="34" xfId="131" applyNumberFormat="1" applyFont="1" applyFill="1" applyBorder="1" applyAlignment="1" applyProtection="1">
      <alignment vertical="center" shrinkToFit="1"/>
      <protection/>
    </xf>
    <xf numFmtId="0" fontId="10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27" xfId="131" applyNumberFormat="1" applyFont="1" applyFill="1" applyBorder="1" applyAlignment="1" applyProtection="1">
      <alignment horizontal="center" vertical="center"/>
      <protection locked="0"/>
    </xf>
    <xf numFmtId="49" fontId="27" fillId="58" borderId="40" xfId="131" applyNumberFormat="1" applyFont="1" applyFill="1" applyBorder="1" applyAlignment="1" applyProtection="1">
      <alignment horizontal="center" vertical="center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8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9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8" xfId="131" applyNumberFormat="1" applyFont="1" applyFill="1" applyBorder="1" applyAlignment="1" applyProtection="1">
      <alignment horizontal="center" vertical="center"/>
      <protection locked="0"/>
    </xf>
    <xf numFmtId="1" fontId="27" fillId="58" borderId="29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105" fillId="0" borderId="31" xfId="0" applyFont="1" applyBorder="1" applyAlignment="1" applyProtection="1">
      <alignment horizontal="left" vertical="center"/>
      <protection locked="0"/>
    </xf>
    <xf numFmtId="0" fontId="91" fillId="0" borderId="0" xfId="0" applyFont="1" applyAlignment="1" applyProtection="1">
      <alignment/>
      <protection locked="0"/>
    </xf>
    <xf numFmtId="0" fontId="104" fillId="0" borderId="31" xfId="0" applyFont="1" applyBorder="1" applyAlignment="1" applyProtection="1">
      <alignment horizontal="left" vertical="center"/>
      <protection locked="0"/>
    </xf>
    <xf numFmtId="0" fontId="104" fillId="0" borderId="25" xfId="0" applyFont="1" applyBorder="1" applyAlignment="1" applyProtection="1">
      <alignment horizontal="left" vertical="center"/>
      <protection locked="0"/>
    </xf>
    <xf numFmtId="0" fontId="104" fillId="0" borderId="24" xfId="0" applyFont="1" applyBorder="1" applyAlignment="1" applyProtection="1">
      <alignment horizontal="right" vertical="center"/>
      <protection locked="0"/>
    </xf>
    <xf numFmtId="0" fontId="104" fillId="0" borderId="25" xfId="0" applyFont="1" applyBorder="1" applyAlignment="1" applyProtection="1">
      <alignment horizontal="right" vertical="center"/>
      <protection locked="0"/>
    </xf>
    <xf numFmtId="0" fontId="104" fillId="0" borderId="25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04" fillId="0" borderId="25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104" fillId="0" borderId="32" xfId="0" applyFont="1" applyBorder="1" applyAlignment="1" applyProtection="1">
      <alignment horizontal="left" vertical="center"/>
      <protection locked="0"/>
    </xf>
    <xf numFmtId="0" fontId="104" fillId="0" borderId="26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8" fillId="0" borderId="0" xfId="0" applyFont="1" applyBorder="1" applyAlignment="1" applyProtection="1">
      <alignment vertical="center"/>
      <protection locked="0"/>
    </xf>
    <xf numFmtId="0" fontId="103" fillId="0" borderId="0" xfId="0" applyFont="1" applyBorder="1" applyAlignment="1" applyProtection="1">
      <alignment vertical="center" wrapText="1"/>
      <protection locked="0"/>
    </xf>
    <xf numFmtId="0" fontId="103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3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30" fillId="60" borderId="24" xfId="0" applyFont="1" applyFill="1" applyBorder="1" applyAlignment="1" applyProtection="1">
      <alignment horizontal="left" vertical="center" wrapText="1"/>
      <protection locked="0"/>
    </xf>
    <xf numFmtId="0" fontId="30" fillId="56" borderId="24" xfId="0" applyFont="1" applyFill="1" applyBorder="1" applyAlignment="1" applyProtection="1">
      <alignment horizontal="left" vertical="center" wrapText="1"/>
      <protection locked="0"/>
    </xf>
    <xf numFmtId="0" fontId="30" fillId="55" borderId="24" xfId="0" applyFont="1" applyFill="1" applyBorder="1" applyAlignment="1" applyProtection="1">
      <alignment horizontal="left" vertical="center" wrapText="1"/>
      <protection locked="0"/>
    </xf>
    <xf numFmtId="0" fontId="30" fillId="55" borderId="26" xfId="0" applyFont="1" applyFill="1" applyBorder="1" applyAlignment="1" applyProtection="1">
      <alignment horizontal="left" vertical="center" wrapText="1"/>
      <protection locked="0"/>
    </xf>
    <xf numFmtId="0" fontId="103" fillId="0" borderId="0" xfId="0" applyFont="1" applyBorder="1" applyAlignment="1" applyProtection="1">
      <alignment horizontal="center" vertical="center"/>
      <protection locked="0"/>
    </xf>
    <xf numFmtId="0" fontId="7" fillId="10" borderId="42" xfId="0" applyFont="1" applyFill="1" applyBorder="1" applyAlignment="1" applyProtection="1">
      <alignment vertical="center"/>
      <protection locked="0"/>
    </xf>
    <xf numFmtId="0" fontId="7" fillId="10" borderId="43" xfId="0" applyFont="1" applyFill="1" applyBorder="1" applyAlignment="1" applyProtection="1">
      <alignment vertical="center"/>
      <protection locked="0"/>
    </xf>
    <xf numFmtId="0" fontId="30" fillId="10" borderId="43" xfId="0" applyFont="1" applyFill="1" applyBorder="1" applyAlignment="1" applyProtection="1">
      <alignment horizontal="left" vertical="center" wrapText="1"/>
      <protection locked="0"/>
    </xf>
    <xf numFmtId="0" fontId="30" fillId="10" borderId="44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9" fontId="8" fillId="57" borderId="0" xfId="138" applyNumberFormat="1" applyFont="1" applyFill="1" applyAlignment="1" applyProtection="1">
      <alignment vertical="center"/>
      <protection locked="0"/>
    </xf>
    <xf numFmtId="169" fontId="8" fillId="56" borderId="0" xfId="138" applyNumberFormat="1" applyFont="1" applyFill="1" applyAlignment="1" applyProtection="1">
      <alignment vertical="center"/>
      <protection locked="0"/>
    </xf>
    <xf numFmtId="169" fontId="8" fillId="55" borderId="0" xfId="138" applyNumberFormat="1" applyFont="1" applyFill="1" applyAlignment="1" applyProtection="1">
      <alignment vertical="center"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169" fontId="7" fillId="55" borderId="0" xfId="140" applyNumberFormat="1" applyFont="1" applyFill="1" applyAlignment="1" applyProtection="1">
      <alignment vertical="center"/>
      <protection locked="0"/>
    </xf>
    <xf numFmtId="169" fontId="7" fillId="56" borderId="0" xfId="140" applyNumberFormat="1" applyFont="1" applyFill="1" applyAlignment="1" applyProtection="1">
      <alignment vertical="center"/>
      <protection locked="0"/>
    </xf>
    <xf numFmtId="169" fontId="7" fillId="57" borderId="0" xfId="140" applyNumberFormat="1" applyFont="1" applyFill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left" vertical="center" indent="1"/>
      <protection locked="0"/>
    </xf>
    <xf numFmtId="0" fontId="7" fillId="0" borderId="21" xfId="0" applyFont="1" applyBorder="1" applyAlignment="1" applyProtection="1">
      <alignment horizontal="left" vertical="center" wrapText="1" indent="2"/>
      <protection locked="0"/>
    </xf>
    <xf numFmtId="0" fontId="7" fillId="0" borderId="22" xfId="0" applyFont="1" applyBorder="1" applyAlignment="1" applyProtection="1">
      <alignment horizontal="left" vertical="center" wrapText="1" indent="2"/>
      <protection locked="0"/>
    </xf>
    <xf numFmtId="0" fontId="7" fillId="0" borderId="21" xfId="0" applyFont="1" applyBorder="1" applyAlignment="1" applyProtection="1">
      <alignment horizontal="left" vertical="center" wrapText="1" indent="1"/>
      <protection locked="0"/>
    </xf>
    <xf numFmtId="0" fontId="8" fillId="0" borderId="21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indent="1"/>
      <protection locked="0"/>
    </xf>
    <xf numFmtId="175" fontId="2" fillId="61" borderId="35" xfId="131" applyNumberFormat="1" applyFont="1" applyFill="1" applyBorder="1" applyAlignment="1" applyProtection="1">
      <alignment horizontal="right" vertical="center" shrinkToFit="1"/>
      <protection/>
    </xf>
    <xf numFmtId="175" fontId="2" fillId="61" borderId="33" xfId="131" applyNumberFormat="1" applyFont="1" applyFill="1" applyBorder="1" applyAlignment="1" applyProtection="1">
      <alignment horizontal="right" vertical="center" shrinkToFit="1"/>
      <protection/>
    </xf>
    <xf numFmtId="175" fontId="2" fillId="61" borderId="34" xfId="131" applyNumberFormat="1" applyFont="1" applyFill="1" applyBorder="1" applyAlignment="1" applyProtection="1">
      <alignment horizontal="right" vertical="center" shrinkToFit="1"/>
      <protection/>
    </xf>
    <xf numFmtId="166" fontId="2" fillId="61" borderId="35" xfId="131" applyNumberFormat="1" applyFont="1" applyFill="1" applyBorder="1" applyAlignment="1" applyProtection="1">
      <alignment vertical="center" shrinkToFit="1"/>
      <protection/>
    </xf>
    <xf numFmtId="166" fontId="2" fillId="61" borderId="33" xfId="131" applyNumberFormat="1" applyFont="1" applyFill="1" applyBorder="1" applyAlignment="1" applyProtection="1">
      <alignment vertical="center" shrinkToFit="1"/>
      <protection/>
    </xf>
    <xf numFmtId="166" fontId="2" fillId="61" borderId="34" xfId="131" applyNumberFormat="1" applyFont="1" applyFill="1" applyBorder="1" applyAlignment="1" applyProtection="1">
      <alignment vertical="center" shrinkToFit="1"/>
      <protection/>
    </xf>
    <xf numFmtId="0" fontId="2" fillId="61" borderId="35" xfId="131" applyNumberFormat="1" applyFont="1" applyFill="1" applyBorder="1" applyAlignment="1" applyProtection="1">
      <alignment horizontal="right" vertical="center" shrinkToFit="1"/>
      <protection/>
    </xf>
    <xf numFmtId="0" fontId="2" fillId="61" borderId="34" xfId="131" applyNumberFormat="1" applyFont="1" applyFill="1" applyBorder="1" applyAlignment="1" applyProtection="1">
      <alignment horizontal="right" vertical="center" shrinkToFit="1"/>
      <protection/>
    </xf>
    <xf numFmtId="0" fontId="106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10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111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8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27" xfId="0" applyNumberFormat="1" applyFont="1" applyFill="1" applyBorder="1" applyAlignment="1">
      <alignment horizontal="right" vertical="center"/>
    </xf>
    <xf numFmtId="169" fontId="3" fillId="59" borderId="28" xfId="0" applyNumberFormat="1" applyFont="1" applyFill="1" applyBorder="1" applyAlignment="1">
      <alignment horizontal="right" vertical="center"/>
    </xf>
    <xf numFmtId="169" fontId="3" fillId="59" borderId="29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5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169" fontId="2" fillId="0" borderId="34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169" fontId="2" fillId="0" borderId="47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8" xfId="138" applyNumberFormat="1" applyFont="1" applyFill="1" applyBorder="1" applyAlignment="1">
      <alignment horizontal="right" vertical="center"/>
    </xf>
    <xf numFmtId="169" fontId="2" fillId="0" borderId="36" xfId="138" applyNumberFormat="1" applyFont="1" applyFill="1" applyBorder="1" applyAlignment="1">
      <alignment horizontal="right" vertical="center"/>
    </xf>
    <xf numFmtId="169" fontId="2" fillId="0" borderId="37" xfId="138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3" fillId="59" borderId="28" xfId="0" applyNumberFormat="1" applyFont="1" applyFill="1" applyBorder="1" applyAlignment="1">
      <alignment vertical="center"/>
    </xf>
    <xf numFmtId="166" fontId="3" fillId="59" borderId="29" xfId="0" applyNumberFormat="1" applyFont="1" applyFill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4" xfId="0" applyNumberFormat="1" applyFont="1" applyBorder="1" applyAlignment="1">
      <alignment vertical="center"/>
    </xf>
    <xf numFmtId="166" fontId="2" fillId="0" borderId="38" xfId="0" applyNumberFormat="1" applyFont="1" applyBorder="1" applyAlignment="1">
      <alignment vertical="center"/>
    </xf>
    <xf numFmtId="166" fontId="2" fillId="0" borderId="36" xfId="0" applyNumberFormat="1" applyFont="1" applyBorder="1" applyAlignment="1">
      <alignment vertical="center"/>
    </xf>
    <xf numFmtId="166" fontId="2" fillId="0" borderId="37" xfId="0" applyNumberFormat="1" applyFont="1" applyBorder="1" applyAlignment="1">
      <alignment vertical="center"/>
    </xf>
    <xf numFmtId="166" fontId="2" fillId="59" borderId="31" xfId="0" applyNumberFormat="1" applyFont="1" applyFill="1" applyBorder="1" applyAlignment="1">
      <alignment vertical="center"/>
    </xf>
    <xf numFmtId="166" fontId="2" fillId="59" borderId="33" xfId="0" applyNumberFormat="1" applyFont="1" applyFill="1" applyBorder="1" applyAlignment="1">
      <alignment vertical="center"/>
    </xf>
    <xf numFmtId="166" fontId="2" fillId="59" borderId="34" xfId="0" applyNumberFormat="1" applyFont="1" applyFill="1" applyBorder="1" applyAlignment="1">
      <alignment vertical="center"/>
    </xf>
    <xf numFmtId="166" fontId="2" fillId="59" borderId="32" xfId="0" applyNumberFormat="1" applyFont="1" applyFill="1" applyBorder="1" applyAlignment="1">
      <alignment vertical="center"/>
    </xf>
    <xf numFmtId="166" fontId="2" fillId="59" borderId="36" xfId="0" applyNumberFormat="1" applyFont="1" applyFill="1" applyBorder="1" applyAlignment="1">
      <alignment vertical="center"/>
    </xf>
    <xf numFmtId="166" fontId="2" fillId="59" borderId="37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29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33" xfId="0" applyNumberFormat="1" applyFont="1" applyFill="1" applyBorder="1" applyAlignment="1">
      <alignment vertical="center"/>
    </xf>
    <xf numFmtId="4" fontId="2" fillId="59" borderId="34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37" xfId="0" applyNumberFormat="1" applyFont="1" applyFill="1" applyBorder="1" applyAlignment="1">
      <alignment vertical="center"/>
    </xf>
    <xf numFmtId="169" fontId="2" fillId="59" borderId="31" xfId="0" applyNumberFormat="1" applyFont="1" applyFill="1" applyBorder="1" applyAlignment="1">
      <alignment horizontal="right" vertical="center"/>
    </xf>
    <xf numFmtId="169" fontId="2" fillId="59" borderId="33" xfId="0" applyNumberFormat="1" applyFont="1" applyFill="1" applyBorder="1" applyAlignment="1">
      <alignment horizontal="right" vertical="center"/>
    </xf>
    <xf numFmtId="169" fontId="2" fillId="59" borderId="34" xfId="0" applyNumberFormat="1" applyFont="1" applyFill="1" applyBorder="1" applyAlignment="1">
      <alignment horizontal="right" vertical="center"/>
    </xf>
    <xf numFmtId="169" fontId="2" fillId="59" borderId="31" xfId="0" applyNumberFormat="1" applyFont="1" applyFill="1" applyBorder="1" applyAlignment="1">
      <alignment horizontal="right" vertical="center" wrapText="1"/>
    </xf>
    <xf numFmtId="169" fontId="2" fillId="59" borderId="33" xfId="0" applyNumberFormat="1" applyFont="1" applyFill="1" applyBorder="1" applyAlignment="1">
      <alignment horizontal="right" vertical="center" wrapText="1"/>
    </xf>
    <xf numFmtId="169" fontId="2" fillId="59" borderId="34" xfId="0" applyNumberFormat="1" applyFont="1" applyFill="1" applyBorder="1" applyAlignment="1">
      <alignment horizontal="right" vertical="center" wrapText="1"/>
    </xf>
    <xf numFmtId="169" fontId="2" fillId="59" borderId="48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3" fillId="59" borderId="31" xfId="0" applyNumberFormat="1" applyFont="1" applyFill="1" applyBorder="1" applyAlignment="1">
      <alignment horizontal="right" vertical="center"/>
    </xf>
    <xf numFmtId="169" fontId="3" fillId="59" borderId="33" xfId="0" applyNumberFormat="1" applyFont="1" applyFill="1" applyBorder="1" applyAlignment="1">
      <alignment horizontal="right" vertical="center"/>
    </xf>
    <xf numFmtId="169" fontId="3" fillId="59" borderId="34" xfId="0" applyNumberFormat="1" applyFont="1" applyFill="1" applyBorder="1" applyAlignment="1">
      <alignment horizontal="right" vertical="center"/>
    </xf>
    <xf numFmtId="169" fontId="2" fillId="59" borderId="32" xfId="0" applyNumberFormat="1" applyFont="1" applyFill="1" applyBorder="1" applyAlignment="1">
      <alignment horizontal="right" vertical="center" wrapText="1"/>
    </xf>
    <xf numFmtId="169" fontId="2" fillId="59" borderId="36" xfId="0" applyNumberFormat="1" applyFont="1" applyFill="1" applyBorder="1" applyAlignment="1">
      <alignment horizontal="right" vertical="center" wrapText="1"/>
    </xf>
    <xf numFmtId="169" fontId="2" fillId="59" borderId="37" xfId="0" applyNumberFormat="1" applyFont="1" applyFill="1" applyBorder="1" applyAlignment="1">
      <alignment horizontal="right" vertical="center" wrapText="1"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28" xfId="131" applyNumberFormat="1" applyFont="1" applyFill="1" applyBorder="1" applyAlignment="1">
      <alignment horizontal="right" vertical="center" wrapText="1"/>
      <protection/>
    </xf>
    <xf numFmtId="169" fontId="2" fillId="59" borderId="29" xfId="131" applyNumberFormat="1" applyFont="1" applyFill="1" applyBorder="1" applyAlignment="1">
      <alignment horizontal="right" vertical="center" wrapText="1"/>
      <protection/>
    </xf>
    <xf numFmtId="166" fontId="3" fillId="59" borderId="31" xfId="131" applyNumberFormat="1" applyFont="1" applyFill="1" applyBorder="1" applyAlignment="1" applyProtection="1">
      <alignment vertical="center" shrinkToFit="1"/>
      <protection/>
    </xf>
    <xf numFmtId="166" fontId="3" fillId="59" borderId="33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vertical="center" shrinkToFit="1"/>
      <protection/>
    </xf>
    <xf numFmtId="166" fontId="2" fillId="59" borderId="33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2" fillId="59" borderId="33" xfId="131" applyNumberFormat="1" applyFont="1" applyFill="1" applyBorder="1" applyAlignment="1" applyProtection="1">
      <alignment horizontal="center" vertical="center" shrinkToFit="1"/>
      <protection/>
    </xf>
    <xf numFmtId="175" fontId="2" fillId="59" borderId="31" xfId="131" applyNumberFormat="1" applyFont="1" applyFill="1" applyBorder="1" applyAlignment="1" applyProtection="1">
      <alignment vertical="center" shrinkToFit="1"/>
      <protection/>
    </xf>
    <xf numFmtId="175" fontId="2" fillId="59" borderId="33" xfId="131" applyNumberFormat="1" applyFont="1" applyFill="1" applyBorder="1" applyAlignment="1" applyProtection="1">
      <alignment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3" xfId="131" applyNumberFormat="1" applyFont="1" applyFill="1" applyBorder="1" applyAlignment="1" applyProtection="1">
      <alignment horizontal="center" vertical="center" shrinkToFit="1"/>
      <protection/>
    </xf>
    <xf numFmtId="166" fontId="2" fillId="59" borderId="32" xfId="131" applyNumberFormat="1" applyFont="1" applyFill="1" applyBorder="1" applyAlignment="1" applyProtection="1">
      <alignment vertical="center" shrinkToFit="1"/>
      <protection/>
    </xf>
    <xf numFmtId="166" fontId="2" fillId="59" borderId="36" xfId="131" applyNumberFormat="1" applyFont="1" applyFill="1" applyBorder="1" applyAlignment="1" applyProtection="1">
      <alignment vertical="center" shrinkToFit="1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101" fillId="0" borderId="35" xfId="0" applyNumberFormat="1" applyFont="1" applyFill="1" applyBorder="1" applyAlignment="1" applyProtection="1">
      <alignment horizontal="center" vertical="center"/>
      <protection/>
    </xf>
    <xf numFmtId="0" fontId="101" fillId="0" borderId="33" xfId="0" applyNumberFormat="1" applyFont="1" applyFill="1" applyBorder="1" applyAlignment="1" applyProtection="1">
      <alignment horizontal="center" vertical="center"/>
      <protection/>
    </xf>
    <xf numFmtId="0" fontId="101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105" fillId="0" borderId="25" xfId="0" applyFont="1" applyBorder="1" applyAlignment="1" applyProtection="1">
      <alignment horizontal="left" vertical="center" wrapText="1"/>
      <protection locked="0"/>
    </xf>
    <xf numFmtId="0" fontId="104" fillId="0" borderId="25" xfId="0" applyFont="1" applyBorder="1" applyAlignment="1" applyProtection="1">
      <alignment horizontal="left" vertical="center" wrapText="1"/>
      <protection locked="0"/>
    </xf>
    <xf numFmtId="0" fontId="104" fillId="0" borderId="49" xfId="0" applyFont="1" applyBorder="1" applyAlignment="1" applyProtection="1">
      <alignment horizontal="left" vertical="center" wrapText="1"/>
      <protection locked="0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horizontal="right" vertical="center"/>
    </xf>
    <xf numFmtId="166" fontId="3" fillId="59" borderId="29" xfId="0" applyNumberFormat="1" applyFont="1" applyFill="1" applyBorder="1" applyAlignment="1">
      <alignment horizontal="right" vertical="center"/>
    </xf>
    <xf numFmtId="166" fontId="3" fillId="59" borderId="31" xfId="0" applyNumberFormat="1" applyFont="1" applyFill="1" applyBorder="1" applyAlignment="1">
      <alignment vertical="center"/>
    </xf>
    <xf numFmtId="166" fontId="3" fillId="59" borderId="33" xfId="0" applyNumberFormat="1" applyFont="1" applyFill="1" applyBorder="1" applyAlignment="1">
      <alignment vertical="center"/>
    </xf>
    <xf numFmtId="166" fontId="3" fillId="59" borderId="34" xfId="0" applyNumberFormat="1" applyFont="1" applyFill="1" applyBorder="1" applyAlignment="1">
      <alignment vertical="center"/>
    </xf>
    <xf numFmtId="166" fontId="2" fillId="59" borderId="31" xfId="0" applyNumberFormat="1" applyFont="1" applyFill="1" applyBorder="1" applyAlignment="1">
      <alignment horizontal="right" vertical="center"/>
    </xf>
    <xf numFmtId="166" fontId="2" fillId="59" borderId="33" xfId="0" applyNumberFormat="1" applyFont="1" applyFill="1" applyBorder="1" applyAlignment="1">
      <alignment horizontal="right" vertical="center"/>
    </xf>
    <xf numFmtId="166" fontId="2" fillId="59" borderId="34" xfId="0" applyNumberFormat="1" applyFont="1" applyFill="1" applyBorder="1" applyAlignment="1">
      <alignment horizontal="right" vertical="center"/>
    </xf>
    <xf numFmtId="166" fontId="2" fillId="59" borderId="31" xfId="0" applyNumberFormat="1" applyFont="1" applyFill="1" applyBorder="1" applyAlignment="1">
      <alignment horizontal="right" vertical="center" wrapText="1"/>
    </xf>
    <xf numFmtId="166" fontId="2" fillId="59" borderId="33" xfId="0" applyNumberFormat="1" applyFont="1" applyFill="1" applyBorder="1" applyAlignment="1">
      <alignment horizontal="right" vertical="center" wrapText="1"/>
    </xf>
    <xf numFmtId="166" fontId="2" fillId="59" borderId="34" xfId="0" applyNumberFormat="1" applyFont="1" applyFill="1" applyBorder="1" applyAlignment="1">
      <alignment horizontal="right" vertical="center" wrapText="1"/>
    </xf>
    <xf numFmtId="166" fontId="2" fillId="59" borderId="32" xfId="0" applyNumberFormat="1" applyFont="1" applyFill="1" applyBorder="1" applyAlignment="1">
      <alignment horizontal="right" vertical="center" wrapText="1"/>
    </xf>
    <xf numFmtId="166" fontId="2" fillId="59" borderId="36" xfId="0" applyNumberFormat="1" applyFont="1" applyFill="1" applyBorder="1" applyAlignment="1">
      <alignment horizontal="right" vertical="center" wrapText="1"/>
    </xf>
    <xf numFmtId="166" fontId="2" fillId="59" borderId="37" xfId="0" applyNumberFormat="1" applyFont="1" applyFill="1" applyBorder="1" applyAlignment="1">
      <alignment horizontal="right" vertical="center" wrapText="1"/>
    </xf>
    <xf numFmtId="166" fontId="3" fillId="59" borderId="31" xfId="0" applyNumberFormat="1" applyFont="1" applyFill="1" applyBorder="1" applyAlignment="1">
      <alignment horizontal="right" vertical="center"/>
    </xf>
    <xf numFmtId="166" fontId="3" fillId="59" borderId="33" xfId="0" applyNumberFormat="1" applyFont="1" applyFill="1" applyBorder="1" applyAlignment="1">
      <alignment horizontal="right" vertical="center"/>
    </xf>
    <xf numFmtId="166" fontId="3" fillId="59" borderId="34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30" xfId="138" applyNumberFormat="1" applyFont="1" applyFill="1" applyBorder="1" applyAlignment="1">
      <alignment horizontal="right" vertical="center"/>
    </xf>
    <xf numFmtId="169" fontId="3" fillId="0" borderId="28" xfId="138" applyNumberFormat="1" applyFont="1" applyFill="1" applyBorder="1" applyAlignment="1">
      <alignment horizontal="right" vertical="center"/>
    </xf>
    <xf numFmtId="169" fontId="3" fillId="0" borderId="29" xfId="138" applyNumberFormat="1" applyFont="1" applyFill="1" applyBorder="1" applyAlignment="1">
      <alignment horizontal="right" vertical="center"/>
    </xf>
    <xf numFmtId="0" fontId="112" fillId="0" borderId="0" xfId="0" applyFont="1" applyAlignment="1">
      <alignment/>
    </xf>
    <xf numFmtId="169" fontId="3" fillId="0" borderId="35" xfId="138" applyNumberFormat="1" applyFont="1" applyFill="1" applyBorder="1" applyAlignment="1">
      <alignment horizontal="right" vertical="center"/>
    </xf>
    <xf numFmtId="169" fontId="3" fillId="0" borderId="33" xfId="138" applyNumberFormat="1" applyFont="1" applyFill="1" applyBorder="1" applyAlignment="1">
      <alignment horizontal="right" vertical="center"/>
    </xf>
    <xf numFmtId="169" fontId="3" fillId="0" borderId="34" xfId="138" applyNumberFormat="1" applyFont="1" applyFill="1" applyBorder="1" applyAlignment="1">
      <alignment horizontal="right" vertical="center"/>
    </xf>
    <xf numFmtId="166" fontId="3" fillId="0" borderId="30" xfId="0" applyNumberFormat="1" applyFont="1" applyBorder="1" applyAlignment="1">
      <alignment vertical="center"/>
    </xf>
    <xf numFmtId="166" fontId="3" fillId="0" borderId="28" xfId="0" applyNumberFormat="1" applyFont="1" applyBorder="1" applyAlignment="1">
      <alignment vertical="center"/>
    </xf>
    <xf numFmtId="166" fontId="3" fillId="0" borderId="29" xfId="0" applyNumberFormat="1" applyFont="1" applyBorder="1" applyAlignment="1">
      <alignment vertical="center"/>
    </xf>
    <xf numFmtId="166" fontId="3" fillId="0" borderId="35" xfId="0" applyNumberFormat="1" applyFont="1" applyBorder="1" applyAlignment="1">
      <alignment vertical="center"/>
    </xf>
    <xf numFmtId="166" fontId="3" fillId="0" borderId="33" xfId="0" applyNumberFormat="1" applyFont="1" applyBorder="1" applyAlignment="1">
      <alignment vertical="center"/>
    </xf>
    <xf numFmtId="166" fontId="3" fillId="0" borderId="34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9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7" fillId="0" borderId="20" xfId="131" applyFont="1" applyFill="1" applyBorder="1" applyAlignment="1" applyProtection="1">
      <alignment vertical="center" wrapText="1"/>
      <protection locked="0"/>
    </xf>
    <xf numFmtId="0" fontId="38" fillId="0" borderId="21" xfId="131" applyFont="1" applyFill="1" applyBorder="1" applyAlignment="1" applyProtection="1">
      <alignment horizontal="left" vertical="center" wrapText="1" indent="1"/>
      <protection locked="0"/>
    </xf>
    <xf numFmtId="0" fontId="38" fillId="0" borderId="21" xfId="131" applyFont="1" applyFill="1" applyBorder="1" applyAlignment="1" applyProtection="1">
      <alignment horizontal="left" vertical="center" wrapText="1" indent="2"/>
      <protection locked="0"/>
    </xf>
    <xf numFmtId="0" fontId="38" fillId="0" borderId="21" xfId="131" applyNumberFormat="1" applyFont="1" applyFill="1" applyBorder="1" applyAlignment="1" applyProtection="1">
      <alignment horizontal="left" vertical="center" wrapText="1" indent="2"/>
      <protection locked="0"/>
    </xf>
    <xf numFmtId="0" fontId="38" fillId="0" borderId="22" xfId="131" applyFont="1" applyFill="1" applyBorder="1" applyAlignment="1" applyProtection="1">
      <alignment horizontal="left" vertical="center" wrapText="1" indent="2"/>
      <protection locked="0"/>
    </xf>
    <xf numFmtId="0" fontId="38" fillId="0" borderId="21" xfId="131" applyFont="1" applyFill="1" applyBorder="1" applyAlignment="1" applyProtection="1">
      <alignment horizontal="left" vertical="center" wrapText="1" indent="3"/>
      <protection locked="0"/>
    </xf>
    <xf numFmtId="0" fontId="37" fillId="0" borderId="23" xfId="131" applyFont="1" applyFill="1" applyBorder="1" applyAlignment="1" applyProtection="1">
      <alignment vertical="center" wrapText="1"/>
      <protection locked="0"/>
    </xf>
    <xf numFmtId="0" fontId="38" fillId="0" borderId="20" xfId="131" applyFont="1" applyFill="1" applyBorder="1" applyAlignment="1" applyProtection="1">
      <alignment horizontal="left" vertical="center" wrapText="1" indent="1"/>
      <protection locked="0"/>
    </xf>
    <xf numFmtId="0" fontId="38" fillId="0" borderId="22" xfId="131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>
      <alignment/>
    </xf>
    <xf numFmtId="10" fontId="2" fillId="59" borderId="27" xfId="0" applyNumberFormat="1" applyFont="1" applyFill="1" applyBorder="1" applyAlignment="1">
      <alignment horizontal="right"/>
    </xf>
    <xf numFmtId="10" fontId="2" fillId="59" borderId="28" xfId="0" applyNumberFormat="1" applyFont="1" applyFill="1" applyBorder="1" applyAlignment="1">
      <alignment horizontal="right"/>
    </xf>
    <xf numFmtId="10" fontId="2" fillId="59" borderId="29" xfId="0" applyNumberFormat="1" applyFont="1" applyFill="1" applyBorder="1" applyAlignment="1">
      <alignment horizontal="right"/>
    </xf>
    <xf numFmtId="10" fontId="2" fillId="0" borderId="30" xfId="0" applyNumberFormat="1" applyFont="1" applyFill="1" applyBorder="1" applyAlignment="1">
      <alignment vertical="center"/>
    </xf>
    <xf numFmtId="10" fontId="2" fillId="0" borderId="28" xfId="0" applyNumberFormat="1" applyFont="1" applyFill="1" applyBorder="1" applyAlignment="1">
      <alignment vertical="center"/>
    </xf>
    <xf numFmtId="10" fontId="2" fillId="0" borderId="29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59" borderId="32" xfId="0" applyNumberFormat="1" applyFont="1" applyFill="1" applyBorder="1" applyAlignment="1">
      <alignment horizontal="right"/>
    </xf>
    <xf numFmtId="10" fontId="2" fillId="59" borderId="36" xfId="0" applyNumberFormat="1" applyFont="1" applyFill="1" applyBorder="1" applyAlignment="1">
      <alignment horizontal="right"/>
    </xf>
    <xf numFmtId="10" fontId="2" fillId="59" borderId="37" xfId="0" applyNumberFormat="1" applyFont="1" applyFill="1" applyBorder="1" applyAlignment="1">
      <alignment horizontal="right"/>
    </xf>
    <xf numFmtId="10" fontId="2" fillId="0" borderId="38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10" fontId="2" fillId="0" borderId="37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50" xfId="0" applyFont="1" applyBorder="1" applyAlignment="1" applyProtection="1">
      <alignment vertical="center" wrapText="1"/>
      <protection locked="0"/>
    </xf>
    <xf numFmtId="0" fontId="27" fillId="0" borderId="50" xfId="0" applyFont="1" applyBorder="1" applyAlignment="1" applyProtection="1">
      <alignment horizontal="center" vertical="center" wrapText="1"/>
      <protection locked="0"/>
    </xf>
    <xf numFmtId="0" fontId="104" fillId="0" borderId="25" xfId="0" applyFont="1" applyBorder="1" applyAlignment="1" applyProtection="1">
      <alignment horizontal="left" vertical="center" wrapText="1"/>
      <protection locked="0"/>
    </xf>
    <xf numFmtId="0" fontId="2" fillId="0" borderId="35" xfId="131" applyNumberFormat="1" applyFont="1" applyFill="1" applyBorder="1" applyAlignment="1">
      <alignment horizontal="center" vertical="center" shrinkToFit="1"/>
      <protection/>
    </xf>
    <xf numFmtId="0" fontId="2" fillId="0" borderId="33" xfId="131" applyNumberFormat="1" applyFont="1" applyFill="1" applyBorder="1" applyAlignment="1">
      <alignment horizontal="center" vertical="center" shrinkToFit="1"/>
      <protection/>
    </xf>
    <xf numFmtId="0" fontId="2" fillId="0" borderId="34" xfId="131" applyNumberFormat="1" applyFont="1" applyFill="1" applyBorder="1" applyAlignment="1">
      <alignment horizontal="center" vertical="center" shrinkToFit="1"/>
      <protection/>
    </xf>
    <xf numFmtId="175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50" xfId="0" applyFont="1" applyFill="1" applyBorder="1" applyAlignment="1" applyProtection="1">
      <alignment vertical="center"/>
      <protection locked="0"/>
    </xf>
    <xf numFmtId="0" fontId="39" fillId="0" borderId="50" xfId="0" applyFont="1" applyFill="1" applyBorder="1" applyAlignment="1" applyProtection="1">
      <alignment vertical="center"/>
      <protection locked="0"/>
    </xf>
    <xf numFmtId="0" fontId="30" fillId="60" borderId="51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105" fillId="0" borderId="25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50" xfId="0" applyFont="1" applyBorder="1" applyAlignment="1" applyProtection="1">
      <alignment horizontal="left" vertical="center"/>
      <protection locked="0"/>
    </xf>
    <xf numFmtId="166" fontId="2" fillId="59" borderId="34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34" xfId="131" applyNumberFormat="1" applyFont="1" applyFill="1" applyBorder="1" applyAlignment="1" applyProtection="1">
      <alignment vertical="center" shrinkToFit="1"/>
      <protection/>
    </xf>
    <xf numFmtId="166" fontId="2" fillId="59" borderId="34" xfId="131" applyNumberFormat="1" applyFont="1" applyFill="1" applyBorder="1" applyAlignment="1" applyProtection="1">
      <alignment horizontal="center" vertical="center" shrinkToFit="1"/>
      <protection/>
    </xf>
    <xf numFmtId="166" fontId="3" fillId="59" borderId="34" xfId="131" applyNumberFormat="1" applyFont="1" applyFill="1" applyBorder="1" applyAlignment="1" applyProtection="1">
      <alignment vertical="center" shrinkToFit="1"/>
      <protection/>
    </xf>
    <xf numFmtId="166" fontId="33" fillId="63" borderId="35" xfId="131" applyNumberFormat="1" applyFont="1" applyFill="1" applyBorder="1" applyAlignment="1" applyProtection="1">
      <alignment horizontal="right" vertical="center" shrinkToFit="1"/>
      <protection/>
    </xf>
    <xf numFmtId="166" fontId="33" fillId="63" borderId="33" xfId="131" applyNumberFormat="1" applyFont="1" applyFill="1" applyBorder="1" applyAlignment="1" applyProtection="1">
      <alignment horizontal="right" vertical="center" shrinkToFit="1"/>
      <protection/>
    </xf>
    <xf numFmtId="166" fontId="33" fillId="63" borderId="34" xfId="131" applyNumberFormat="1" applyFont="1" applyFill="1" applyBorder="1" applyAlignment="1" applyProtection="1">
      <alignment horizontal="right" vertical="center" shrinkToFit="1"/>
      <protection/>
    </xf>
    <xf numFmtId="166" fontId="3" fillId="62" borderId="35" xfId="131" applyNumberFormat="1" applyFont="1" applyFill="1" applyBorder="1" applyAlignment="1" applyProtection="1">
      <alignment vertical="center" shrinkToFit="1"/>
      <protection/>
    </xf>
    <xf numFmtId="166" fontId="3" fillId="62" borderId="33" xfId="131" applyNumberFormat="1" applyFont="1" applyFill="1" applyBorder="1" applyAlignment="1" applyProtection="1">
      <alignment vertical="center" shrinkToFit="1"/>
      <protection/>
    </xf>
    <xf numFmtId="166" fontId="3" fillId="62" borderId="34" xfId="131" applyNumberFormat="1" applyFont="1" applyFill="1" applyBorder="1" applyAlignment="1" applyProtection="1">
      <alignment vertical="center" shrinkToFit="1"/>
      <protection/>
    </xf>
    <xf numFmtId="166" fontId="3" fillId="59" borderId="34" xfId="131" applyNumberFormat="1" applyFont="1" applyFill="1" applyBorder="1" applyAlignment="1" applyProtection="1">
      <alignment horizontal="center" vertical="center" shrinkToFit="1"/>
      <protection/>
    </xf>
    <xf numFmtId="166" fontId="3" fillId="0" borderId="35" xfId="131" applyNumberFormat="1" applyFont="1" applyFill="1" applyBorder="1" applyAlignment="1" applyProtection="1">
      <alignment horizontal="center" vertical="center" shrinkToFit="1"/>
      <protection/>
    </xf>
    <xf numFmtId="166" fontId="3" fillId="0" borderId="33" xfId="131" applyNumberFormat="1" applyFont="1" applyFill="1" applyBorder="1" applyAlignment="1" applyProtection="1">
      <alignment horizontal="center" vertical="center" shrinkToFit="1"/>
      <protection/>
    </xf>
    <xf numFmtId="166" fontId="3" fillId="0" borderId="34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5" xfId="131" applyNumberFormat="1" applyFont="1" applyFill="1" applyBorder="1" applyAlignment="1" applyProtection="1">
      <alignment vertical="center" shrinkToFit="1"/>
      <protection/>
    </xf>
    <xf numFmtId="166" fontId="34" fillId="63" borderId="33" xfId="131" applyNumberFormat="1" applyFont="1" applyFill="1" applyBorder="1" applyAlignment="1" applyProtection="1">
      <alignment vertical="center" shrinkToFit="1"/>
      <protection/>
    </xf>
    <xf numFmtId="166" fontId="34" fillId="63" borderId="34" xfId="131" applyNumberFormat="1" applyFont="1" applyFill="1" applyBorder="1" applyAlignment="1" applyProtection="1">
      <alignment vertical="center" shrinkToFit="1"/>
      <protection/>
    </xf>
    <xf numFmtId="166" fontId="2" fillId="59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6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3" fillId="0" borderId="0" xfId="0" applyFont="1" applyBorder="1" applyAlignment="1" applyProtection="1">
      <alignment vertical="center" wrapText="1"/>
      <protection/>
    </xf>
    <xf numFmtId="0" fontId="103" fillId="0" borderId="0" xfId="0" applyFont="1" applyBorder="1" applyAlignment="1" applyProtection="1">
      <alignment horizontal="left" vertical="center" wrapText="1"/>
      <protection/>
    </xf>
    <xf numFmtId="0" fontId="103" fillId="59" borderId="27" xfId="0" applyFont="1" applyFill="1" applyBorder="1" applyAlignment="1" applyProtection="1">
      <alignment vertical="center" wrapText="1"/>
      <protection/>
    </xf>
    <xf numFmtId="0" fontId="103" fillId="59" borderId="28" xfId="0" applyFont="1" applyFill="1" applyBorder="1" applyAlignment="1" applyProtection="1">
      <alignment vertical="center" wrapText="1"/>
      <protection/>
    </xf>
    <xf numFmtId="0" fontId="103" fillId="59" borderId="29" xfId="0" applyFont="1" applyFill="1" applyBorder="1" applyAlignment="1" applyProtection="1">
      <alignment vertical="center" wrapText="1"/>
      <protection/>
    </xf>
    <xf numFmtId="0" fontId="103" fillId="59" borderId="31" xfId="0" applyFont="1" applyFill="1" applyBorder="1" applyAlignment="1" applyProtection="1">
      <alignment vertical="center" wrapText="1"/>
      <protection/>
    </xf>
    <xf numFmtId="0" fontId="103" fillId="59" borderId="33" xfId="0" applyFont="1" applyFill="1" applyBorder="1" applyAlignment="1" applyProtection="1">
      <alignment vertical="center" wrapText="1"/>
      <protection/>
    </xf>
    <xf numFmtId="0" fontId="103" fillId="59" borderId="34" xfId="0" applyFont="1" applyFill="1" applyBorder="1" applyAlignment="1" applyProtection="1">
      <alignment vertical="center" wrapText="1"/>
      <protection/>
    </xf>
    <xf numFmtId="0" fontId="103" fillId="59" borderId="32" xfId="0" applyFont="1" applyFill="1" applyBorder="1" applyAlignment="1" applyProtection="1">
      <alignment vertical="center" wrapText="1"/>
      <protection/>
    </xf>
    <xf numFmtId="0" fontId="103" fillId="59" borderId="36" xfId="0" applyFont="1" applyFill="1" applyBorder="1" applyAlignment="1" applyProtection="1">
      <alignment vertical="center" wrapText="1"/>
      <protection/>
    </xf>
    <xf numFmtId="0" fontId="103" fillId="59" borderId="37" xfId="0" applyFont="1" applyFill="1" applyBorder="1" applyAlignment="1" applyProtection="1">
      <alignment vertical="center" wrapText="1"/>
      <protection/>
    </xf>
    <xf numFmtId="4" fontId="7" fillId="59" borderId="27" xfId="0" applyNumberFormat="1" applyFont="1" applyFill="1" applyBorder="1" applyAlignment="1" applyProtection="1">
      <alignment horizontal="right" vertical="center"/>
      <protection/>
    </xf>
    <xf numFmtId="4" fontId="7" fillId="59" borderId="28" xfId="0" applyNumberFormat="1" applyFont="1" applyFill="1" applyBorder="1" applyAlignment="1" applyProtection="1">
      <alignment horizontal="right" vertical="center"/>
      <protection/>
    </xf>
    <xf numFmtId="4" fontId="7" fillId="59" borderId="29" xfId="0" applyNumberFormat="1" applyFont="1" applyFill="1" applyBorder="1" applyAlignment="1" applyProtection="1">
      <alignment horizontal="right" vertical="center"/>
      <protection/>
    </xf>
    <xf numFmtId="4" fontId="7" fillId="0" borderId="30" xfId="0" applyNumberFormat="1" applyFont="1" applyBorder="1" applyAlignment="1" applyProtection="1">
      <alignment vertical="center"/>
      <protection/>
    </xf>
    <xf numFmtId="4" fontId="7" fillId="0" borderId="28" xfId="0" applyNumberFormat="1" applyFont="1" applyBorder="1" applyAlignment="1" applyProtection="1">
      <alignment vertical="center"/>
      <protection/>
    </xf>
    <xf numFmtId="4" fontId="7" fillId="0" borderId="29" xfId="0" applyNumberFormat="1" applyFont="1" applyBorder="1" applyAlignment="1" applyProtection="1">
      <alignment vertical="center"/>
      <protection/>
    </xf>
    <xf numFmtId="4" fontId="7" fillId="59" borderId="31" xfId="0" applyNumberFormat="1" applyFont="1" applyFill="1" applyBorder="1" applyAlignment="1" applyProtection="1">
      <alignment horizontal="right" vertical="center"/>
      <protection/>
    </xf>
    <xf numFmtId="4" fontId="7" fillId="59" borderId="33" xfId="0" applyNumberFormat="1" applyFont="1" applyFill="1" applyBorder="1" applyAlignment="1" applyProtection="1">
      <alignment horizontal="right" vertical="center"/>
      <protection/>
    </xf>
    <xf numFmtId="4" fontId="7" fillId="59" borderId="34" xfId="0" applyNumberFormat="1" applyFont="1" applyFill="1" applyBorder="1" applyAlignment="1" applyProtection="1">
      <alignment horizontal="right" vertical="center"/>
      <protection/>
    </xf>
    <xf numFmtId="4" fontId="7" fillId="0" borderId="35" xfId="0" applyNumberFormat="1" applyFont="1" applyBorder="1" applyAlignment="1" applyProtection="1">
      <alignment vertical="center"/>
      <protection/>
    </xf>
    <xf numFmtId="4" fontId="7" fillId="0" borderId="33" xfId="0" applyNumberFormat="1" applyFont="1" applyBorder="1" applyAlignment="1" applyProtection="1">
      <alignment vertical="center"/>
      <protection/>
    </xf>
    <xf numFmtId="4" fontId="7" fillId="0" borderId="34" xfId="0" applyNumberFormat="1" applyFont="1" applyBorder="1" applyAlignment="1" applyProtection="1">
      <alignment vertical="center"/>
      <protection/>
    </xf>
    <xf numFmtId="4" fontId="7" fillId="59" borderId="36" xfId="0" applyNumberFormat="1" applyFont="1" applyFill="1" applyBorder="1" applyAlignment="1" applyProtection="1">
      <alignment horizontal="right" vertical="center"/>
      <protection/>
    </xf>
    <xf numFmtId="4" fontId="7" fillId="59" borderId="37" xfId="0" applyNumberFormat="1" applyFont="1" applyFill="1" applyBorder="1" applyAlignment="1" applyProtection="1">
      <alignment horizontal="right" vertical="center"/>
      <protection/>
    </xf>
    <xf numFmtId="4" fontId="7" fillId="0" borderId="38" xfId="0" applyNumberFormat="1" applyFont="1" applyBorder="1" applyAlignment="1" applyProtection="1">
      <alignment vertical="center"/>
      <protection/>
    </xf>
    <xf numFmtId="4" fontId="7" fillId="0" borderId="36" xfId="0" applyNumberFormat="1" applyFont="1" applyBorder="1" applyAlignment="1" applyProtection="1">
      <alignment vertical="center"/>
      <protection/>
    </xf>
    <xf numFmtId="4" fontId="7" fillId="0" borderId="37" xfId="0" applyNumberFormat="1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 vertical="center"/>
      <protection/>
    </xf>
    <xf numFmtId="169" fontId="8" fillId="0" borderId="0" xfId="138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10" fontId="7" fillId="59" borderId="27" xfId="0" applyNumberFormat="1" applyFont="1" applyFill="1" applyBorder="1" applyAlignment="1" applyProtection="1">
      <alignment horizontal="right"/>
      <protection/>
    </xf>
    <xf numFmtId="10" fontId="7" fillId="59" borderId="28" xfId="0" applyNumberFormat="1" applyFont="1" applyFill="1" applyBorder="1" applyAlignment="1" applyProtection="1">
      <alignment horizontal="right"/>
      <protection/>
    </xf>
    <xf numFmtId="10" fontId="7" fillId="59" borderId="29" xfId="0" applyNumberFormat="1" applyFont="1" applyFill="1" applyBorder="1" applyAlignment="1" applyProtection="1">
      <alignment horizontal="right"/>
      <protection/>
    </xf>
    <xf numFmtId="10" fontId="7" fillId="0" borderId="30" xfId="0" applyNumberFormat="1" applyFont="1" applyFill="1" applyBorder="1" applyAlignment="1" applyProtection="1">
      <alignment vertical="center"/>
      <protection/>
    </xf>
    <xf numFmtId="10" fontId="7" fillId="0" borderId="28" xfId="0" applyNumberFormat="1" applyFont="1" applyFill="1" applyBorder="1" applyAlignment="1" applyProtection="1">
      <alignment vertical="center"/>
      <protection/>
    </xf>
    <xf numFmtId="10" fontId="7" fillId="0" borderId="29" xfId="0" applyNumberFormat="1" applyFont="1" applyFill="1" applyBorder="1" applyAlignment="1" applyProtection="1">
      <alignment vertical="center"/>
      <protection/>
    </xf>
    <xf numFmtId="10" fontId="7" fillId="59" borderId="32" xfId="0" applyNumberFormat="1" applyFont="1" applyFill="1" applyBorder="1" applyAlignment="1" applyProtection="1">
      <alignment horizontal="right"/>
      <protection/>
    </xf>
    <xf numFmtId="10" fontId="7" fillId="59" borderId="36" xfId="0" applyNumberFormat="1" applyFont="1" applyFill="1" applyBorder="1" applyAlignment="1" applyProtection="1">
      <alignment horizontal="right"/>
      <protection/>
    </xf>
    <xf numFmtId="10" fontId="7" fillId="59" borderId="37" xfId="0" applyNumberFormat="1" applyFont="1" applyFill="1" applyBorder="1" applyAlignment="1" applyProtection="1">
      <alignment horizontal="right"/>
      <protection/>
    </xf>
    <xf numFmtId="10" fontId="7" fillId="0" borderId="38" xfId="0" applyNumberFormat="1" applyFont="1" applyFill="1" applyBorder="1" applyAlignment="1" applyProtection="1">
      <alignment vertical="center"/>
      <protection/>
    </xf>
    <xf numFmtId="10" fontId="7" fillId="0" borderId="36" xfId="0" applyNumberFormat="1" applyFont="1" applyFill="1" applyBorder="1" applyAlignment="1" applyProtection="1">
      <alignment vertical="center"/>
      <protection/>
    </xf>
    <xf numFmtId="10" fontId="7" fillId="0" borderId="37" xfId="0" applyNumberFormat="1" applyFont="1" applyFill="1" applyBorder="1" applyAlignment="1" applyProtection="1">
      <alignment vertical="center"/>
      <protection/>
    </xf>
    <xf numFmtId="169" fontId="7" fillId="0" borderId="0" xfId="140" applyNumberFormat="1" applyFont="1" applyFill="1" applyAlignment="1" applyProtection="1">
      <alignment vertical="center"/>
      <protection/>
    </xf>
    <xf numFmtId="169" fontId="8" fillId="59" borderId="27" xfId="0" applyNumberFormat="1" applyFont="1" applyFill="1" applyBorder="1" applyAlignment="1" applyProtection="1">
      <alignment horizontal="right" vertical="center"/>
      <protection/>
    </xf>
    <xf numFmtId="169" fontId="8" fillId="59" borderId="28" xfId="0" applyNumberFormat="1" applyFont="1" applyFill="1" applyBorder="1" applyAlignment="1" applyProtection="1">
      <alignment horizontal="right" vertical="center"/>
      <protection/>
    </xf>
    <xf numFmtId="169" fontId="8" fillId="59" borderId="29" xfId="0" applyNumberFormat="1" applyFont="1" applyFill="1" applyBorder="1" applyAlignment="1" applyProtection="1">
      <alignment horizontal="right" vertical="center"/>
      <protection/>
    </xf>
    <xf numFmtId="169" fontId="8" fillId="0" borderId="30" xfId="138" applyNumberFormat="1" applyFont="1" applyFill="1" applyBorder="1" applyAlignment="1" applyProtection="1">
      <alignment horizontal="right" vertical="center"/>
      <protection/>
    </xf>
    <xf numFmtId="169" fontId="8" fillId="0" borderId="28" xfId="138" applyNumberFormat="1" applyFont="1" applyFill="1" applyBorder="1" applyAlignment="1" applyProtection="1">
      <alignment horizontal="right" vertical="center"/>
      <protection/>
    </xf>
    <xf numFmtId="169" fontId="8" fillId="0" borderId="29" xfId="138" applyNumberFormat="1" applyFont="1" applyFill="1" applyBorder="1" applyAlignment="1" applyProtection="1">
      <alignment horizontal="right" vertical="center"/>
      <protection/>
    </xf>
    <xf numFmtId="169" fontId="7" fillId="59" borderId="31" xfId="0" applyNumberFormat="1" applyFont="1" applyFill="1" applyBorder="1" applyAlignment="1" applyProtection="1">
      <alignment horizontal="right" vertical="center"/>
      <protection/>
    </xf>
    <xf numFmtId="169" fontId="7" fillId="59" borderId="33" xfId="0" applyNumberFormat="1" applyFont="1" applyFill="1" applyBorder="1" applyAlignment="1" applyProtection="1">
      <alignment horizontal="right" vertical="center"/>
      <protection/>
    </xf>
    <xf numFmtId="169" fontId="7" fillId="59" borderId="34" xfId="0" applyNumberFormat="1" applyFont="1" applyFill="1" applyBorder="1" applyAlignment="1" applyProtection="1">
      <alignment horizontal="right" vertical="center"/>
      <protection/>
    </xf>
    <xf numFmtId="169" fontId="7" fillId="0" borderId="35" xfId="138" applyNumberFormat="1" applyFont="1" applyFill="1" applyBorder="1" applyAlignment="1" applyProtection="1">
      <alignment horizontal="right" vertical="center"/>
      <protection/>
    </xf>
    <xf numFmtId="169" fontId="7" fillId="0" borderId="33" xfId="138" applyNumberFormat="1" applyFont="1" applyFill="1" applyBorder="1" applyAlignment="1" applyProtection="1">
      <alignment horizontal="right" vertical="center"/>
      <protection/>
    </xf>
    <xf numFmtId="169" fontId="7" fillId="0" borderId="34" xfId="138" applyNumberFormat="1" applyFont="1" applyFill="1" applyBorder="1" applyAlignment="1" applyProtection="1">
      <alignment horizontal="right" vertical="center"/>
      <protection/>
    </xf>
    <xf numFmtId="169" fontId="7" fillId="59" borderId="31" xfId="0" applyNumberFormat="1" applyFont="1" applyFill="1" applyBorder="1" applyAlignment="1" applyProtection="1">
      <alignment horizontal="right" vertical="center" wrapText="1"/>
      <protection/>
    </xf>
    <xf numFmtId="169" fontId="7" fillId="59" borderId="33" xfId="0" applyNumberFormat="1" applyFont="1" applyFill="1" applyBorder="1" applyAlignment="1" applyProtection="1">
      <alignment horizontal="right" vertical="center" wrapText="1"/>
      <protection/>
    </xf>
    <xf numFmtId="169" fontId="7" fillId="59" borderId="34" xfId="0" applyNumberFormat="1" applyFont="1" applyFill="1" applyBorder="1" applyAlignment="1" applyProtection="1">
      <alignment horizontal="right" vertical="center" wrapText="1"/>
      <protection/>
    </xf>
    <xf numFmtId="169" fontId="7" fillId="59" borderId="48" xfId="0" applyNumberFormat="1" applyFont="1" applyFill="1" applyBorder="1" applyAlignment="1" applyProtection="1">
      <alignment horizontal="right" vertical="center" wrapText="1"/>
      <protection/>
    </xf>
    <xf numFmtId="169" fontId="7" fillId="59" borderId="46" xfId="0" applyNumberFormat="1" applyFont="1" applyFill="1" applyBorder="1" applyAlignment="1" applyProtection="1">
      <alignment horizontal="right" vertical="center" wrapText="1"/>
      <protection/>
    </xf>
    <xf numFmtId="169" fontId="7" fillId="59" borderId="47" xfId="0" applyNumberFormat="1" applyFont="1" applyFill="1" applyBorder="1" applyAlignment="1" applyProtection="1">
      <alignment horizontal="right" vertical="center" wrapText="1"/>
      <protection/>
    </xf>
    <xf numFmtId="169" fontId="7" fillId="0" borderId="45" xfId="138" applyNumberFormat="1" applyFont="1" applyFill="1" applyBorder="1" applyAlignment="1" applyProtection="1">
      <alignment horizontal="right" vertical="center"/>
      <protection/>
    </xf>
    <xf numFmtId="169" fontId="7" fillId="0" borderId="46" xfId="138" applyNumberFormat="1" applyFont="1" applyFill="1" applyBorder="1" applyAlignment="1" applyProtection="1">
      <alignment horizontal="right" vertical="center"/>
      <protection/>
    </xf>
    <xf numFmtId="169" fontId="7" fillId="0" borderId="47" xfId="138" applyNumberFormat="1" applyFont="1" applyFill="1" applyBorder="1" applyAlignment="1" applyProtection="1">
      <alignment horizontal="right" vertical="center"/>
      <protection/>
    </xf>
    <xf numFmtId="169" fontId="7" fillId="59" borderId="31" xfId="0" applyNumberFormat="1" applyFont="1" applyFill="1" applyBorder="1" applyAlignment="1" applyProtection="1">
      <alignment horizontal="right" vertical="center" wrapText="1"/>
      <protection/>
    </xf>
    <xf numFmtId="169" fontId="7" fillId="59" borderId="33" xfId="0" applyNumberFormat="1" applyFont="1" applyFill="1" applyBorder="1" applyAlignment="1" applyProtection="1">
      <alignment horizontal="right" vertical="center" wrapText="1"/>
      <protection/>
    </xf>
    <xf numFmtId="169" fontId="7" fillId="59" borderId="34" xfId="0" applyNumberFormat="1" applyFont="1" applyFill="1" applyBorder="1" applyAlignment="1" applyProtection="1">
      <alignment horizontal="right" vertical="center" wrapText="1"/>
      <protection/>
    </xf>
    <xf numFmtId="169" fontId="8" fillId="59" borderId="31" xfId="0" applyNumberFormat="1" applyFont="1" applyFill="1" applyBorder="1" applyAlignment="1" applyProtection="1">
      <alignment horizontal="right" vertical="center"/>
      <protection/>
    </xf>
    <xf numFmtId="169" fontId="8" fillId="59" borderId="33" xfId="0" applyNumberFormat="1" applyFont="1" applyFill="1" applyBorder="1" applyAlignment="1" applyProtection="1">
      <alignment horizontal="right" vertical="center"/>
      <protection/>
    </xf>
    <xf numFmtId="169" fontId="8" fillId="59" borderId="34" xfId="0" applyNumberFormat="1" applyFont="1" applyFill="1" applyBorder="1" applyAlignment="1" applyProtection="1">
      <alignment horizontal="right" vertical="center"/>
      <protection/>
    </xf>
    <xf numFmtId="169" fontId="8" fillId="0" borderId="35" xfId="138" applyNumberFormat="1" applyFont="1" applyFill="1" applyBorder="1" applyAlignment="1" applyProtection="1">
      <alignment horizontal="right" vertical="center"/>
      <protection/>
    </xf>
    <xf numFmtId="169" fontId="8" fillId="0" borderId="33" xfId="138" applyNumberFormat="1" applyFont="1" applyFill="1" applyBorder="1" applyAlignment="1" applyProtection="1">
      <alignment horizontal="right" vertical="center"/>
      <protection/>
    </xf>
    <xf numFmtId="169" fontId="8" fillId="0" borderId="34" xfId="138" applyNumberFormat="1" applyFont="1" applyFill="1" applyBorder="1" applyAlignment="1" applyProtection="1">
      <alignment horizontal="right" vertical="center"/>
      <protection/>
    </xf>
    <xf numFmtId="169" fontId="7" fillId="59" borderId="32" xfId="0" applyNumberFormat="1" applyFont="1" applyFill="1" applyBorder="1" applyAlignment="1" applyProtection="1">
      <alignment horizontal="right" vertical="center" wrapText="1"/>
      <protection/>
    </xf>
    <xf numFmtId="169" fontId="7" fillId="59" borderId="36" xfId="0" applyNumberFormat="1" applyFont="1" applyFill="1" applyBorder="1" applyAlignment="1" applyProtection="1">
      <alignment horizontal="right" vertical="center" wrapText="1"/>
      <protection/>
    </xf>
    <xf numFmtId="169" fontId="7" fillId="59" borderId="37" xfId="0" applyNumberFormat="1" applyFont="1" applyFill="1" applyBorder="1" applyAlignment="1" applyProtection="1">
      <alignment horizontal="right" vertical="center" wrapText="1"/>
      <protection/>
    </xf>
    <xf numFmtId="169" fontId="7" fillId="0" borderId="38" xfId="138" applyNumberFormat="1" applyFont="1" applyFill="1" applyBorder="1" applyAlignment="1" applyProtection="1">
      <alignment horizontal="right" vertical="center"/>
      <protection/>
    </xf>
    <xf numFmtId="169" fontId="7" fillId="0" borderId="36" xfId="138" applyNumberFormat="1" applyFont="1" applyFill="1" applyBorder="1" applyAlignment="1" applyProtection="1">
      <alignment horizontal="right" vertical="center"/>
      <protection/>
    </xf>
    <xf numFmtId="169" fontId="7" fillId="0" borderId="37" xfId="138" applyNumberFormat="1" applyFont="1" applyFill="1" applyBorder="1" applyAlignment="1" applyProtection="1">
      <alignment horizontal="right" vertical="center"/>
      <protection/>
    </xf>
    <xf numFmtId="166" fontId="8" fillId="59" borderId="27" xfId="0" applyNumberFormat="1" applyFont="1" applyFill="1" applyBorder="1" applyAlignment="1" applyProtection="1">
      <alignment horizontal="right" vertical="center"/>
      <protection/>
    </xf>
    <xf numFmtId="166" fontId="8" fillId="59" borderId="28" xfId="0" applyNumberFormat="1" applyFont="1" applyFill="1" applyBorder="1" applyAlignment="1" applyProtection="1">
      <alignment horizontal="right" vertical="center"/>
      <protection/>
    </xf>
    <xf numFmtId="166" fontId="8" fillId="59" borderId="29" xfId="0" applyNumberFormat="1" applyFont="1" applyFill="1" applyBorder="1" applyAlignment="1" applyProtection="1">
      <alignment horizontal="right" vertical="center"/>
      <protection/>
    </xf>
    <xf numFmtId="166" fontId="8" fillId="0" borderId="30" xfId="0" applyNumberFormat="1" applyFont="1" applyBorder="1" applyAlignment="1" applyProtection="1">
      <alignment vertical="center"/>
      <protection/>
    </xf>
    <xf numFmtId="166" fontId="8" fillId="0" borderId="28" xfId="0" applyNumberFormat="1" applyFont="1" applyBorder="1" applyAlignment="1" applyProtection="1">
      <alignment vertical="center"/>
      <protection/>
    </xf>
    <xf numFmtId="166" fontId="8" fillId="0" borderId="29" xfId="0" applyNumberFormat="1" applyFont="1" applyBorder="1" applyAlignment="1" applyProtection="1">
      <alignment vertical="center"/>
      <protection/>
    </xf>
    <xf numFmtId="166" fontId="7" fillId="59" borderId="31" xfId="0" applyNumberFormat="1" applyFont="1" applyFill="1" applyBorder="1" applyAlignment="1" applyProtection="1">
      <alignment horizontal="right" vertical="center"/>
      <protection/>
    </xf>
    <xf numFmtId="166" fontId="7" fillId="59" borderId="33" xfId="0" applyNumberFormat="1" applyFont="1" applyFill="1" applyBorder="1" applyAlignment="1" applyProtection="1">
      <alignment horizontal="right" vertical="center"/>
      <protection/>
    </xf>
    <xf numFmtId="166" fontId="7" fillId="59" borderId="34" xfId="0" applyNumberFormat="1" applyFont="1" applyFill="1" applyBorder="1" applyAlignment="1" applyProtection="1">
      <alignment horizontal="right" vertical="center"/>
      <protection/>
    </xf>
    <xf numFmtId="166" fontId="7" fillId="0" borderId="35" xfId="0" applyNumberFormat="1" applyFont="1" applyBorder="1" applyAlignment="1" applyProtection="1">
      <alignment vertical="center"/>
      <protection/>
    </xf>
    <xf numFmtId="166" fontId="7" fillId="0" borderId="33" xfId="0" applyNumberFormat="1" applyFont="1" applyBorder="1" applyAlignment="1" applyProtection="1">
      <alignment vertical="center"/>
      <protection/>
    </xf>
    <xf numFmtId="166" fontId="7" fillId="0" borderId="34" xfId="0" applyNumberFormat="1" applyFont="1" applyBorder="1" applyAlignment="1" applyProtection="1">
      <alignment vertical="center"/>
      <protection/>
    </xf>
    <xf numFmtId="166" fontId="7" fillId="59" borderId="31" xfId="0" applyNumberFormat="1" applyFont="1" applyFill="1" applyBorder="1" applyAlignment="1" applyProtection="1">
      <alignment horizontal="right" vertical="center" wrapText="1"/>
      <protection/>
    </xf>
    <xf numFmtId="166" fontId="7" fillId="59" borderId="33" xfId="0" applyNumberFormat="1" applyFont="1" applyFill="1" applyBorder="1" applyAlignment="1" applyProtection="1">
      <alignment horizontal="right" vertical="center" wrapText="1"/>
      <protection/>
    </xf>
    <xf numFmtId="166" fontId="7" fillId="59" borderId="34" xfId="0" applyNumberFormat="1" applyFont="1" applyFill="1" applyBorder="1" applyAlignment="1" applyProtection="1">
      <alignment horizontal="right" vertical="center" wrapText="1"/>
      <protection/>
    </xf>
    <xf numFmtId="166" fontId="7" fillId="59" borderId="32" xfId="0" applyNumberFormat="1" applyFont="1" applyFill="1" applyBorder="1" applyAlignment="1" applyProtection="1">
      <alignment horizontal="right" vertical="center" wrapText="1"/>
      <protection/>
    </xf>
    <xf numFmtId="166" fontId="7" fillId="59" borderId="36" xfId="0" applyNumberFormat="1" applyFont="1" applyFill="1" applyBorder="1" applyAlignment="1" applyProtection="1">
      <alignment horizontal="right" vertical="center" wrapText="1"/>
      <protection/>
    </xf>
    <xf numFmtId="166" fontId="7" fillId="59" borderId="37" xfId="0" applyNumberFormat="1" applyFont="1" applyFill="1" applyBorder="1" applyAlignment="1" applyProtection="1">
      <alignment horizontal="right" vertical="center" wrapText="1"/>
      <protection/>
    </xf>
    <xf numFmtId="166" fontId="7" fillId="0" borderId="38" xfId="0" applyNumberFormat="1" applyFont="1" applyBorder="1" applyAlignment="1" applyProtection="1">
      <alignment vertical="center"/>
      <protection/>
    </xf>
    <xf numFmtId="166" fontId="7" fillId="0" borderId="36" xfId="0" applyNumberFormat="1" applyFont="1" applyBorder="1" applyAlignment="1" applyProtection="1">
      <alignment vertical="center"/>
      <protection/>
    </xf>
    <xf numFmtId="166" fontId="7" fillId="0" borderId="37" xfId="0" applyNumberFormat="1" applyFont="1" applyBorder="1" applyAlignment="1" applyProtection="1">
      <alignment vertical="center"/>
      <protection/>
    </xf>
    <xf numFmtId="166" fontId="8" fillId="59" borderId="27" xfId="0" applyNumberFormat="1" applyFont="1" applyFill="1" applyBorder="1" applyAlignment="1" applyProtection="1">
      <alignment vertical="center"/>
      <protection/>
    </xf>
    <xf numFmtId="166" fontId="8" fillId="59" borderId="28" xfId="0" applyNumberFormat="1" applyFont="1" applyFill="1" applyBorder="1" applyAlignment="1" applyProtection="1">
      <alignment vertical="center"/>
      <protection/>
    </xf>
    <xf numFmtId="166" fontId="8" fillId="59" borderId="29" xfId="0" applyNumberFormat="1" applyFont="1" applyFill="1" applyBorder="1" applyAlignment="1" applyProtection="1">
      <alignment vertical="center"/>
      <protection/>
    </xf>
    <xf numFmtId="166" fontId="7" fillId="59" borderId="31" xfId="0" applyNumberFormat="1" applyFont="1" applyFill="1" applyBorder="1" applyAlignment="1" applyProtection="1">
      <alignment vertical="center"/>
      <protection/>
    </xf>
    <xf numFmtId="166" fontId="7" fillId="59" borderId="33" xfId="0" applyNumberFormat="1" applyFont="1" applyFill="1" applyBorder="1" applyAlignment="1" applyProtection="1">
      <alignment vertical="center"/>
      <protection/>
    </xf>
    <xf numFmtId="166" fontId="7" fillId="59" borderId="34" xfId="0" applyNumberFormat="1" applyFont="1" applyFill="1" applyBorder="1" applyAlignment="1" applyProtection="1">
      <alignment vertical="center"/>
      <protection/>
    </xf>
    <xf numFmtId="166" fontId="7" fillId="59" borderId="32" xfId="0" applyNumberFormat="1" applyFont="1" applyFill="1" applyBorder="1" applyAlignment="1" applyProtection="1">
      <alignment vertical="center"/>
      <protection/>
    </xf>
    <xf numFmtId="166" fontId="7" fillId="59" borderId="36" xfId="0" applyNumberFormat="1" applyFont="1" applyFill="1" applyBorder="1" applyAlignment="1" applyProtection="1">
      <alignment vertical="center"/>
      <protection/>
    </xf>
    <xf numFmtId="166" fontId="7" fillId="59" borderId="37" xfId="0" applyNumberFormat="1" applyFont="1" applyFill="1" applyBorder="1" applyAlignment="1" applyProtection="1">
      <alignment vertical="center"/>
      <protection/>
    </xf>
    <xf numFmtId="166" fontId="8" fillId="59" borderId="31" xfId="0" applyNumberFormat="1" applyFont="1" applyFill="1" applyBorder="1" applyAlignment="1" applyProtection="1">
      <alignment vertical="center"/>
      <protection/>
    </xf>
    <xf numFmtId="166" fontId="8" fillId="59" borderId="33" xfId="0" applyNumberFormat="1" applyFont="1" applyFill="1" applyBorder="1" applyAlignment="1" applyProtection="1">
      <alignment vertical="center"/>
      <protection/>
    </xf>
    <xf numFmtId="166" fontId="8" fillId="59" borderId="34" xfId="0" applyNumberFormat="1" applyFont="1" applyFill="1" applyBorder="1" applyAlignment="1" applyProtection="1">
      <alignment vertical="center"/>
      <protection/>
    </xf>
    <xf numFmtId="166" fontId="8" fillId="0" borderId="35" xfId="0" applyNumberFormat="1" applyFont="1" applyBorder="1" applyAlignment="1" applyProtection="1">
      <alignment vertical="center"/>
      <protection/>
    </xf>
    <xf numFmtId="166" fontId="8" fillId="0" borderId="33" xfId="0" applyNumberFormat="1" applyFont="1" applyBorder="1" applyAlignment="1" applyProtection="1">
      <alignment vertical="center"/>
      <protection/>
    </xf>
    <xf numFmtId="166" fontId="8" fillId="0" borderId="34" xfId="0" applyNumberFormat="1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indent="1"/>
      <protection/>
    </xf>
    <xf numFmtId="166" fontId="7" fillId="0" borderId="0" xfId="0" applyNumberFormat="1" applyFont="1" applyAlignment="1" applyProtection="1">
      <alignment/>
      <protection/>
    </xf>
    <xf numFmtId="169" fontId="37" fillId="59" borderId="27" xfId="131" applyNumberFormat="1" applyFont="1" applyFill="1" applyBorder="1" applyAlignment="1" applyProtection="1">
      <alignment horizontal="right" vertical="center" wrapText="1"/>
      <protection/>
    </xf>
    <xf numFmtId="169" fontId="37" fillId="59" borderId="28" xfId="131" applyNumberFormat="1" applyFont="1" applyFill="1" applyBorder="1" applyAlignment="1" applyProtection="1">
      <alignment horizontal="right" vertical="center" wrapText="1"/>
      <protection/>
    </xf>
    <xf numFmtId="169" fontId="37" fillId="59" borderId="29" xfId="131" applyNumberFormat="1" applyFont="1" applyFill="1" applyBorder="1" applyAlignment="1" applyProtection="1">
      <alignment horizontal="right" vertical="center" wrapText="1"/>
      <protection/>
    </xf>
    <xf numFmtId="169" fontId="37" fillId="0" borderId="30" xfId="138" applyNumberFormat="1" applyFont="1" applyFill="1" applyBorder="1" applyAlignment="1" applyProtection="1">
      <alignment horizontal="right" vertical="center" wrapText="1"/>
      <protection/>
    </xf>
    <xf numFmtId="169" fontId="37" fillId="0" borderId="28" xfId="138" applyNumberFormat="1" applyFont="1" applyFill="1" applyBorder="1" applyAlignment="1" applyProtection="1">
      <alignment horizontal="right" vertical="center" wrapText="1"/>
      <protection/>
    </xf>
    <xf numFmtId="169" fontId="37" fillId="0" borderId="29" xfId="138" applyNumberFormat="1" applyFont="1" applyFill="1" applyBorder="1" applyAlignment="1" applyProtection="1">
      <alignment horizontal="right" vertical="center" wrapText="1"/>
      <protection/>
    </xf>
    <xf numFmtId="169" fontId="38" fillId="59" borderId="31" xfId="131" applyNumberFormat="1" applyFont="1" applyFill="1" applyBorder="1" applyAlignment="1" applyProtection="1">
      <alignment horizontal="right" vertical="center" wrapText="1"/>
      <protection/>
    </xf>
    <xf numFmtId="169" fontId="38" fillId="59" borderId="33" xfId="131" applyNumberFormat="1" applyFont="1" applyFill="1" applyBorder="1" applyAlignment="1" applyProtection="1">
      <alignment horizontal="right" vertical="center" wrapText="1"/>
      <protection/>
    </xf>
    <xf numFmtId="169" fontId="38" fillId="59" borderId="34" xfId="131" applyNumberFormat="1" applyFont="1" applyFill="1" applyBorder="1" applyAlignment="1" applyProtection="1">
      <alignment horizontal="right" vertical="center" wrapText="1"/>
      <protection/>
    </xf>
    <xf numFmtId="169" fontId="38" fillId="0" borderId="35" xfId="138" applyNumberFormat="1" applyFont="1" applyFill="1" applyBorder="1" applyAlignment="1" applyProtection="1">
      <alignment horizontal="right" vertical="center" wrapText="1"/>
      <protection/>
    </xf>
    <xf numFmtId="169" fontId="38" fillId="0" borderId="33" xfId="138" applyNumberFormat="1" applyFont="1" applyFill="1" applyBorder="1" applyAlignment="1" applyProtection="1">
      <alignment horizontal="right" vertical="center" wrapText="1"/>
      <protection/>
    </xf>
    <xf numFmtId="169" fontId="38" fillId="0" borderId="34" xfId="138" applyNumberFormat="1" applyFont="1" applyFill="1" applyBorder="1" applyAlignment="1" applyProtection="1">
      <alignment horizontal="right" vertical="center" wrapText="1"/>
      <protection/>
    </xf>
    <xf numFmtId="169" fontId="37" fillId="59" borderId="31" xfId="131" applyNumberFormat="1" applyFont="1" applyFill="1" applyBorder="1" applyAlignment="1" applyProtection="1">
      <alignment horizontal="right" vertical="center" wrapText="1"/>
      <protection/>
    </xf>
    <xf numFmtId="169" fontId="37" fillId="59" borderId="33" xfId="131" applyNumberFormat="1" applyFont="1" applyFill="1" applyBorder="1" applyAlignment="1" applyProtection="1">
      <alignment horizontal="right" vertical="center" wrapText="1"/>
      <protection/>
    </xf>
    <xf numFmtId="169" fontId="37" fillId="59" borderId="34" xfId="131" applyNumberFormat="1" applyFont="1" applyFill="1" applyBorder="1" applyAlignment="1" applyProtection="1">
      <alignment horizontal="right" vertical="center" wrapText="1"/>
      <protection/>
    </xf>
    <xf numFmtId="169" fontId="37" fillId="59" borderId="32" xfId="131" applyNumberFormat="1" applyFont="1" applyFill="1" applyBorder="1" applyAlignment="1" applyProtection="1">
      <alignment horizontal="right" vertical="center" wrapText="1"/>
      <protection/>
    </xf>
    <xf numFmtId="169" fontId="37" fillId="59" borderId="36" xfId="131" applyNumberFormat="1" applyFont="1" applyFill="1" applyBorder="1" applyAlignment="1" applyProtection="1">
      <alignment horizontal="right" vertical="center" wrapText="1"/>
      <protection/>
    </xf>
    <xf numFmtId="169" fontId="37" fillId="59" borderId="37" xfId="131" applyNumberFormat="1" applyFont="1" applyFill="1" applyBorder="1" applyAlignment="1" applyProtection="1">
      <alignment horizontal="right" vertical="center" wrapText="1"/>
      <protection/>
    </xf>
    <xf numFmtId="169" fontId="38" fillId="0" borderId="38" xfId="138" applyNumberFormat="1" applyFont="1" applyFill="1" applyBorder="1" applyAlignment="1" applyProtection="1">
      <alignment horizontal="right" vertical="center" wrapText="1"/>
      <protection/>
    </xf>
    <xf numFmtId="169" fontId="38" fillId="0" borderId="36" xfId="138" applyNumberFormat="1" applyFont="1" applyFill="1" applyBorder="1" applyAlignment="1" applyProtection="1">
      <alignment horizontal="right" vertical="center" wrapText="1"/>
      <protection/>
    </xf>
    <xf numFmtId="169" fontId="38" fillId="0" borderId="37" xfId="138" applyNumberFormat="1" applyFont="1" applyFill="1" applyBorder="1" applyAlignment="1" applyProtection="1">
      <alignment horizontal="right" vertical="center" wrapText="1"/>
      <protection/>
    </xf>
    <xf numFmtId="169" fontId="38" fillId="59" borderId="33" xfId="138" applyNumberFormat="1" applyFont="1" applyFill="1" applyBorder="1" applyAlignment="1" applyProtection="1">
      <alignment horizontal="right" vertical="center" wrapText="1"/>
      <protection/>
    </xf>
    <xf numFmtId="169" fontId="38" fillId="59" borderId="32" xfId="131" applyNumberFormat="1" applyFont="1" applyFill="1" applyBorder="1" applyAlignment="1" applyProtection="1">
      <alignment horizontal="right" vertical="center" wrapText="1"/>
      <protection/>
    </xf>
    <xf numFmtId="169" fontId="38" fillId="59" borderId="36" xfId="131" applyNumberFormat="1" applyFont="1" applyFill="1" applyBorder="1" applyAlignment="1" applyProtection="1">
      <alignment horizontal="right" vertical="center" wrapText="1"/>
      <protection/>
    </xf>
    <xf numFmtId="169" fontId="38" fillId="59" borderId="37" xfId="131" applyNumberFormat="1" applyFont="1" applyFill="1" applyBorder="1" applyAlignment="1" applyProtection="1">
      <alignment horizontal="right" vertical="center" wrapText="1"/>
      <protection/>
    </xf>
    <xf numFmtId="0" fontId="37" fillId="0" borderId="0" xfId="131" applyFont="1" applyFill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169" fontId="38" fillId="59" borderId="27" xfId="131" applyNumberFormat="1" applyFont="1" applyFill="1" applyBorder="1" applyAlignment="1" applyProtection="1">
      <alignment horizontal="right" vertical="center" wrapText="1"/>
      <protection/>
    </xf>
    <xf numFmtId="169" fontId="38" fillId="59" borderId="28" xfId="131" applyNumberFormat="1" applyFont="1" applyFill="1" applyBorder="1" applyAlignment="1" applyProtection="1">
      <alignment horizontal="right" vertical="center" wrapText="1"/>
      <protection/>
    </xf>
    <xf numFmtId="169" fontId="38" fillId="59" borderId="29" xfId="131" applyNumberFormat="1" applyFont="1" applyFill="1" applyBorder="1" applyAlignment="1" applyProtection="1">
      <alignment horizontal="right" vertical="center" wrapText="1"/>
      <protection/>
    </xf>
    <xf numFmtId="169" fontId="38" fillId="0" borderId="30" xfId="138" applyNumberFormat="1" applyFont="1" applyFill="1" applyBorder="1" applyAlignment="1" applyProtection="1">
      <alignment horizontal="right" vertical="center" wrapText="1"/>
      <protection/>
    </xf>
    <xf numFmtId="169" fontId="38" fillId="0" borderId="28" xfId="138" applyNumberFormat="1" applyFont="1" applyFill="1" applyBorder="1" applyAlignment="1" applyProtection="1">
      <alignment horizontal="right" vertical="center" wrapText="1"/>
      <protection/>
    </xf>
    <xf numFmtId="169" fontId="38" fillId="0" borderId="29" xfId="138" applyNumberFormat="1" applyFont="1" applyFill="1" applyBorder="1" applyAlignment="1" applyProtection="1">
      <alignment horizontal="right" vertical="center" wrapText="1"/>
      <protection/>
    </xf>
    <xf numFmtId="166" fontId="101" fillId="0" borderId="35" xfId="0" applyNumberFormat="1" applyFont="1" applyFill="1" applyBorder="1" applyAlignment="1" applyProtection="1">
      <alignment horizontal="center" vertical="center"/>
      <protection/>
    </xf>
    <xf numFmtId="166" fontId="101" fillId="0" borderId="33" xfId="0" applyNumberFormat="1" applyFont="1" applyFill="1" applyBorder="1" applyAlignment="1" applyProtection="1">
      <alignment horizontal="center" vertical="center"/>
      <protection/>
    </xf>
    <xf numFmtId="166" fontId="101" fillId="0" borderId="34" xfId="0" applyNumberFormat="1" applyFont="1" applyFill="1" applyBorder="1" applyAlignment="1" applyProtection="1">
      <alignment horizontal="center" vertical="center"/>
      <protection/>
    </xf>
    <xf numFmtId="166" fontId="101" fillId="0" borderId="35" xfId="0" applyNumberFormat="1" applyFont="1" applyFill="1" applyBorder="1" applyAlignment="1">
      <alignment horizontal="center" vertical="center"/>
    </xf>
    <xf numFmtId="166" fontId="101" fillId="0" borderId="33" xfId="0" applyNumberFormat="1" applyFont="1" applyFill="1" applyBorder="1" applyAlignment="1">
      <alignment horizontal="center" vertical="center"/>
    </xf>
    <xf numFmtId="166" fontId="101" fillId="0" borderId="34" xfId="0" applyNumberFormat="1" applyFont="1" applyFill="1" applyBorder="1" applyAlignment="1">
      <alignment horizontal="center" vertical="center"/>
    </xf>
    <xf numFmtId="4" fontId="2" fillId="59" borderId="32" xfId="0" applyNumberFormat="1" applyFont="1" applyFill="1" applyBorder="1" applyAlignment="1">
      <alignment horizontal="center" vertical="center"/>
    </xf>
    <xf numFmtId="4" fontId="7" fillId="59" borderId="32" xfId="0" applyNumberFormat="1" applyFont="1" applyFill="1" applyBorder="1" applyAlignment="1" applyProtection="1">
      <alignment horizontal="center" vertical="center"/>
      <protection/>
    </xf>
    <xf numFmtId="0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104" fillId="0" borderId="52" xfId="0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27" fillId="0" borderId="50" xfId="0" applyFont="1" applyBorder="1" applyAlignment="1" applyProtection="1">
      <alignment horizontal="center" vertical="center" wrapText="1"/>
      <protection locked="0"/>
    </xf>
    <xf numFmtId="0" fontId="104" fillId="0" borderId="25" xfId="0" applyFont="1" applyBorder="1" applyAlignment="1">
      <alignment horizontal="left" vertical="center" wrapText="1"/>
    </xf>
    <xf numFmtId="0" fontId="104" fillId="0" borderId="49" xfId="0" applyFont="1" applyBorder="1" applyAlignment="1">
      <alignment horizontal="left" vertical="center" wrapText="1"/>
    </xf>
    <xf numFmtId="0" fontId="105" fillId="0" borderId="24" xfId="0" applyFont="1" applyBorder="1" applyAlignment="1">
      <alignment horizontal="left" vertical="center" wrapText="1"/>
    </xf>
    <xf numFmtId="0" fontId="105" fillId="0" borderId="25" xfId="0" applyFont="1" applyBorder="1" applyAlignment="1">
      <alignment horizontal="left" vertical="center" wrapText="1"/>
    </xf>
    <xf numFmtId="49" fontId="27" fillId="58" borderId="39" xfId="131" applyNumberFormat="1" applyFont="1" applyFill="1" applyBorder="1" applyAlignment="1">
      <alignment horizontal="center" vertical="center"/>
      <protection/>
    </xf>
    <xf numFmtId="49" fontId="27" fillId="58" borderId="40" xfId="131" applyNumberFormat="1" applyFont="1" applyFill="1" applyBorder="1" applyAlignment="1">
      <alignment horizontal="center" vertical="center"/>
      <protection/>
    </xf>
    <xf numFmtId="0" fontId="113" fillId="0" borderId="43" xfId="134" applyFont="1" applyBorder="1" applyAlignment="1">
      <alignment horizontal="left" vertical="center"/>
      <protection/>
    </xf>
    <xf numFmtId="0" fontId="113" fillId="0" borderId="25" xfId="134" applyFont="1" applyBorder="1" applyAlignment="1">
      <alignment horizontal="left" vertical="center"/>
      <protection/>
    </xf>
    <xf numFmtId="0" fontId="113" fillId="0" borderId="35" xfId="134" applyFont="1" applyBorder="1" applyAlignment="1">
      <alignment horizontal="left" vertical="center"/>
      <protection/>
    </xf>
    <xf numFmtId="0" fontId="113" fillId="0" borderId="42" xfId="134" applyFont="1" applyBorder="1" applyAlignment="1">
      <alignment horizontal="left" vertical="center"/>
      <protection/>
    </xf>
    <xf numFmtId="0" fontId="113" fillId="0" borderId="40" xfId="134" applyFont="1" applyBorder="1" applyAlignment="1">
      <alignment horizontal="left" vertical="center"/>
      <protection/>
    </xf>
    <xf numFmtId="0" fontId="113" fillId="0" borderId="30" xfId="134" applyFont="1" applyBorder="1" applyAlignment="1">
      <alignment horizontal="left" vertical="center"/>
      <protection/>
    </xf>
    <xf numFmtId="0" fontId="113" fillId="0" borderId="44" xfId="134" applyFont="1" applyBorder="1" applyAlignment="1">
      <alignment horizontal="left" vertical="center"/>
      <protection/>
    </xf>
    <xf numFmtId="0" fontId="113" fillId="0" borderId="49" xfId="134" applyFont="1" applyBorder="1" applyAlignment="1">
      <alignment horizontal="left" vertical="center"/>
      <protection/>
    </xf>
    <xf numFmtId="0" fontId="113" fillId="0" borderId="38" xfId="134" applyFont="1" applyBorder="1" applyAlignment="1">
      <alignment horizontal="left" vertical="center"/>
      <protection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9" fillId="61" borderId="0" xfId="0" applyFont="1" applyFill="1" applyBorder="1" applyAlignment="1" applyProtection="1">
      <alignment horizontal="left" vertical="center" wrapText="1"/>
      <protection locked="0"/>
    </xf>
    <xf numFmtId="0" fontId="114" fillId="0" borderId="43" xfId="134" applyFont="1" applyBorder="1" applyAlignment="1" applyProtection="1">
      <alignment horizontal="left" vertical="center"/>
      <protection locked="0"/>
    </xf>
    <xf numFmtId="0" fontId="114" fillId="0" borderId="25" xfId="134" applyFont="1" applyBorder="1" applyAlignment="1" applyProtection="1">
      <alignment horizontal="left" vertical="center"/>
      <protection locked="0"/>
    </xf>
    <xf numFmtId="0" fontId="114" fillId="0" borderId="35" xfId="134" applyFont="1" applyBorder="1" applyAlignment="1" applyProtection="1">
      <alignment horizontal="left" vertical="center"/>
      <protection locked="0"/>
    </xf>
    <xf numFmtId="0" fontId="114" fillId="0" borderId="44" xfId="134" applyFont="1" applyBorder="1" applyAlignment="1" applyProtection="1">
      <alignment horizontal="left" vertical="center"/>
      <protection locked="0"/>
    </xf>
    <xf numFmtId="0" fontId="114" fillId="0" borderId="49" xfId="134" applyFont="1" applyBorder="1" applyAlignment="1" applyProtection="1">
      <alignment horizontal="left" vertical="center"/>
      <protection locked="0"/>
    </xf>
    <xf numFmtId="0" fontId="114" fillId="0" borderId="38" xfId="134" applyFont="1" applyBorder="1" applyAlignment="1" applyProtection="1">
      <alignment horizontal="left" vertical="center"/>
      <protection locked="0"/>
    </xf>
    <xf numFmtId="0" fontId="104" fillId="0" borderId="25" xfId="0" applyFont="1" applyBorder="1" applyAlignment="1" applyProtection="1">
      <alignment horizontal="left" vertical="center" wrapText="1"/>
      <protection locked="0"/>
    </xf>
    <xf numFmtId="0" fontId="105" fillId="0" borderId="24" xfId="0" applyFont="1" applyBorder="1" applyAlignment="1" applyProtection="1">
      <alignment horizontal="left" vertical="center" wrapText="1"/>
      <protection locked="0"/>
    </xf>
    <xf numFmtId="0" fontId="105" fillId="0" borderId="25" xfId="0" applyFont="1" applyBorder="1" applyAlignment="1" applyProtection="1">
      <alignment horizontal="left" vertical="center" wrapText="1"/>
      <protection locked="0"/>
    </xf>
    <xf numFmtId="0" fontId="114" fillId="0" borderId="53" xfId="134" applyFont="1" applyBorder="1" applyAlignment="1" applyProtection="1">
      <alignment horizontal="left" vertical="center"/>
      <protection locked="0"/>
    </xf>
    <xf numFmtId="0" fontId="114" fillId="0" borderId="54" xfId="134" applyFont="1" applyBorder="1" applyAlignment="1" applyProtection="1">
      <alignment horizontal="left" vertical="center"/>
      <protection locked="0"/>
    </xf>
    <xf numFmtId="0" fontId="114" fillId="0" borderId="55" xfId="134" applyFont="1" applyBorder="1" applyAlignment="1" applyProtection="1">
      <alignment horizontal="left" vertical="center"/>
      <protection locked="0"/>
    </xf>
    <xf numFmtId="0" fontId="104" fillId="0" borderId="49" xfId="0" applyFont="1" applyBorder="1" applyAlignment="1" applyProtection="1">
      <alignment horizontal="left" vertical="center" wrapText="1"/>
      <protection locked="0"/>
    </xf>
    <xf numFmtId="0" fontId="104" fillId="0" borderId="52" xfId="0" applyFont="1" applyBorder="1" applyAlignment="1" applyProtection="1">
      <alignment horizontal="left" vertical="center" wrapText="1"/>
      <protection locked="0"/>
    </xf>
    <xf numFmtId="0" fontId="104" fillId="0" borderId="21" xfId="0" applyFont="1" applyBorder="1" applyAlignment="1" applyProtection="1">
      <alignment horizontal="left" vertical="center" wrapText="1"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40" xfId="131" applyNumberFormat="1" applyFont="1" applyFill="1" applyBorder="1" applyAlignment="1" applyProtection="1">
      <alignment horizontal="center"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45">
    <dxf>
      <font>
        <b/>
        <i val="0"/>
      </font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ont>
        <color rgb="FFFF0000"/>
      </font>
      <fill>
        <patternFill>
          <bgColor rgb="FFFFE101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582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'Zał.1_WPF_bazowy'!$J$18:$S$18</c:f>
              <c:numCache>
                <c:ptCount val="10"/>
                <c:pt idx="0">
                  <c:v>258000</c:v>
                </c:pt>
                <c:pt idx="1">
                  <c:v>30000</c:v>
                </c:pt>
                <c:pt idx="2">
                  <c:v>30000</c:v>
                </c:pt>
                <c:pt idx="3">
                  <c:v>20000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'Zał.1_WPF_bazowy'!$D$19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'Zał.1_WPF_bazowy'!$J$19:$T$19</c:f>
              <c:numCache>
                <c:ptCount val="11"/>
                <c:pt idx="0">
                  <c:v>45000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4240448"/>
        <c:axId val="62619713"/>
      </c:lineChart>
      <c:catAx>
        <c:axId val="4424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19713"/>
        <c:crosses val="autoZero"/>
        <c:auto val="1"/>
        <c:lblOffset val="100"/>
        <c:tickLblSkip val="1"/>
        <c:noMultiLvlLbl val="0"/>
      </c:catAx>
      <c:valAx>
        <c:axId val="62619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4044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975"/>
          <c:y val="0.01075"/>
          <c:w val="0.79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3645"/>
          <c:w val="0.95825"/>
          <c:h val="0.636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'Zał.1_WPF_bazowy'!$B$44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'Zał.1_WPF_bazowy'!$J$44:$S$44</c:f>
              <c:numCache>
                <c:ptCount val="10"/>
                <c:pt idx="0">
                  <c:v>5606715.76</c:v>
                </c:pt>
                <c:pt idx="1">
                  <c:v>5399417.46</c:v>
                </c:pt>
                <c:pt idx="2">
                  <c:v>4573417.46</c:v>
                </c:pt>
                <c:pt idx="3">
                  <c:v>3523417.46</c:v>
                </c:pt>
                <c:pt idx="4">
                  <c:v>2373417.46</c:v>
                </c:pt>
                <c:pt idx="5">
                  <c:v>1249496.46</c:v>
                </c:pt>
                <c:pt idx="6">
                  <c:v>249496.46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'Zał.1_WPF_bazowy'!$C$40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'Zał.1_WPF_bazowy'!$J$40:$S$40</c:f>
              <c:numCache>
                <c:ptCount val="10"/>
                <c:pt idx="0">
                  <c:v>1133995</c:v>
                </c:pt>
                <c:pt idx="1">
                  <c:v>694000</c:v>
                </c:pt>
                <c:pt idx="2">
                  <c:v>826000</c:v>
                </c:pt>
                <c:pt idx="3">
                  <c:v>1050000</c:v>
                </c:pt>
                <c:pt idx="4">
                  <c:v>1150000</c:v>
                </c:pt>
                <c:pt idx="5">
                  <c:v>1123921</c:v>
                </c:pt>
                <c:pt idx="6">
                  <c:v>1000000</c:v>
                </c:pt>
                <c:pt idx="7">
                  <c:v>249496.46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'Zał.1_WPF_bazowy'!$D$26</c:f>
              <c:strCache>
                <c:ptCount val="1"/>
                <c:pt idx="0">
                  <c:v>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'Zał.1_WPF_bazowy'!$J$26:$S$26</c:f>
              <c:numCache>
                <c:ptCount val="10"/>
                <c:pt idx="0">
                  <c:v>400000</c:v>
                </c:pt>
                <c:pt idx="1">
                  <c:v>350000</c:v>
                </c:pt>
                <c:pt idx="2">
                  <c:v>290000</c:v>
                </c:pt>
                <c:pt idx="3">
                  <c:v>270000</c:v>
                </c:pt>
                <c:pt idx="4">
                  <c:v>240000</c:v>
                </c:pt>
                <c:pt idx="5">
                  <c:v>210000</c:v>
                </c:pt>
                <c:pt idx="6">
                  <c:v>130000</c:v>
                </c:pt>
                <c:pt idx="7">
                  <c:v>120000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4379674"/>
        <c:axId val="42546155"/>
      </c:lineChart>
      <c:catAx>
        <c:axId val="643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46155"/>
        <c:crosses val="autoZero"/>
        <c:auto val="1"/>
        <c:lblOffset val="100"/>
        <c:tickLblSkip val="1"/>
        <c:noMultiLvlLbl val="0"/>
      </c:catAx>
      <c:valAx>
        <c:axId val="42546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7967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75"/>
          <c:y val="0.01075"/>
          <c:w val="0.766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95"/>
          <c:w val="0.969"/>
          <c:h val="0.84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'Zał.1_WPF_bazowy'!$C$47</c:f>
              <c:strCache>
                <c:ptCount val="1"/>
                <c:pt idx="0">
                  <c:v>Wskaźnik zadłużenia do dochodów ogółem określony w art. 170 ufp z 2005 r.,  bez uwzględniania wyłączeń określonych w pkt 6.1.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'Zał.1_WPF_bazowy'!$J$47:$S$47</c:f>
              <c:numCache>
                <c:ptCount val="10"/>
                <c:pt idx="0">
                  <c:v>0.2669</c:v>
                </c:pt>
                <c:pt idx="1">
                  <c:v>0.2574</c:v>
                </c:pt>
                <c:pt idx="2">
                  <c:v>0.2117</c:v>
                </c:pt>
                <c:pt idx="3">
                  <c:v>0.1582</c:v>
                </c:pt>
                <c:pt idx="4">
                  <c:v>0.1027</c:v>
                </c:pt>
                <c:pt idx="5">
                  <c:v>0.052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371076"/>
        <c:axId val="23686501"/>
      </c:lineChart>
      <c:catAx>
        <c:axId val="4737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6501"/>
        <c:crosses val="autoZero"/>
        <c:auto val="1"/>
        <c:lblOffset val="100"/>
        <c:tickLblSkip val="1"/>
        <c:noMultiLvlLbl val="0"/>
      </c:catAx>
      <c:valAx>
        <c:axId val="23686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71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Dochody bieżące,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('Zał.1_WPF_bazowy'!$F$9:$G$9,'Zał.1_WPF_bazowy'!$I$9:$S$9)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('Zał.1_WPF_bazowy'!$F$11:$G$11,'Zał.1_WPF_bazowy'!$I$11:$S$11)</c:f>
              <c:numCache>
                <c:ptCount val="13"/>
                <c:pt idx="0">
                  <c:v>16382877.29</c:v>
                </c:pt>
                <c:pt idx="1">
                  <c:v>17470618.27</c:v>
                </c:pt>
                <c:pt idx="2">
                  <c:v>19055099.62</c:v>
                </c:pt>
                <c:pt idx="3">
                  <c:v>20746624.6</c:v>
                </c:pt>
                <c:pt idx="4">
                  <c:v>20949227.29</c:v>
                </c:pt>
                <c:pt idx="5">
                  <c:v>21570990.4</c:v>
                </c:pt>
                <c:pt idx="6">
                  <c:v>22246819.55</c:v>
                </c:pt>
                <c:pt idx="7">
                  <c:v>23114445.51</c:v>
                </c:pt>
                <c:pt idx="8">
                  <c:v>24015908.89</c:v>
                </c:pt>
                <c:pt idx="9">
                  <c:v>24952529.34</c:v>
                </c:pt>
                <c:pt idx="10">
                  <c:v>25925677.98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Wydatki bieżące, w tym: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('Zał.1_WPF_bazowy'!$F$9:$G$9,'Zał.1_WPF_bazowy'!$I$9:$S$9)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('Zał.1_WPF_bazowy'!$F$22:$G$22,'Zał.1_WPF_bazowy'!$I$22:$S$22)</c:f>
              <c:numCache>
                <c:ptCount val="13"/>
                <c:pt idx="0">
                  <c:v>15346594.47</c:v>
                </c:pt>
                <c:pt idx="1">
                  <c:v>15872280.15</c:v>
                </c:pt>
                <c:pt idx="2">
                  <c:v>17217700.41</c:v>
                </c:pt>
                <c:pt idx="3">
                  <c:v>19789445.6</c:v>
                </c:pt>
                <c:pt idx="4">
                  <c:v>19411928.99</c:v>
                </c:pt>
                <c:pt idx="5">
                  <c:v>19495475.14</c:v>
                </c:pt>
                <c:pt idx="6">
                  <c:v>20078095.44</c:v>
                </c:pt>
                <c:pt idx="7">
                  <c:v>20840419.26</c:v>
                </c:pt>
                <c:pt idx="8">
                  <c:v>21634436.03</c:v>
                </c:pt>
                <c:pt idx="9">
                  <c:v>22411413.47</c:v>
                </c:pt>
                <c:pt idx="10">
                  <c:v>23292670.01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1851918"/>
        <c:axId val="39558399"/>
      </c:lineChart>
      <c:catAx>
        <c:axId val="118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58399"/>
        <c:crosses val="autoZero"/>
        <c:auto val="1"/>
        <c:lblOffset val="100"/>
        <c:tickLblSkip val="1"/>
        <c:noMultiLvlLbl val="0"/>
      </c:catAx>
      <c:valAx>
        <c:axId val="39558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5191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4"/>
          <c:y val="0.01075"/>
          <c:w val="0.78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'Zał.1_WPF_bazowy'!$C$61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plan 3 kwarta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'Zał.1_WPF_bazowy'!$J$61:$S$61</c:f>
              <c:numCache>
                <c:ptCount val="10"/>
                <c:pt idx="0">
                  <c:v>0.0549</c:v>
                </c:pt>
                <c:pt idx="1">
                  <c:v>0.0499</c:v>
                </c:pt>
                <c:pt idx="2">
                  <c:v>0.0439</c:v>
                </c:pt>
                <c:pt idx="3">
                  <c:v>0.0724</c:v>
                </c:pt>
                <c:pt idx="4">
                  <c:v>0.0889</c:v>
                </c:pt>
                <c:pt idx="5">
                  <c:v>0.0973</c:v>
                </c:pt>
                <c:pt idx="6">
                  <c:v>0.0983</c:v>
                </c:pt>
                <c:pt idx="7">
                  <c:v>0.0998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'Zał.1_WPF_bazowy'!$C$59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'Zał.1_WPF_bazowy'!$J$59:$S$59</c:f>
              <c:numCache>
                <c:ptCount val="10"/>
                <c:pt idx="0">
                  <c:v>0.073</c:v>
                </c:pt>
                <c:pt idx="1">
                  <c:v>0.0498</c:v>
                </c:pt>
                <c:pt idx="2">
                  <c:v>0.0517</c:v>
                </c:pt>
                <c:pt idx="3">
                  <c:v>0.0593</c:v>
                </c:pt>
                <c:pt idx="4">
                  <c:v>0.0601</c:v>
                </c:pt>
                <c:pt idx="5">
                  <c:v>0.0555</c:v>
                </c:pt>
                <c:pt idx="6">
                  <c:v>0.0453</c:v>
                </c:pt>
                <c:pt idx="7">
                  <c:v>0.0143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0481272"/>
        <c:axId val="50113721"/>
      </c:lineChart>
      <c:catAx>
        <c:axId val="2048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13721"/>
        <c:crosses val="autoZero"/>
        <c:auto val="1"/>
        <c:lblOffset val="100"/>
        <c:tickLblSkip val="1"/>
        <c:noMultiLvlLbl val="0"/>
      </c:catAx>
      <c:valAx>
        <c:axId val="50113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812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'Zał.1_WPF_bazowy'!$D$62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wykonanie rok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'Zał.1_WPF_bazowy'!$J$62:$S$62</c:f>
              <c:numCache>
                <c:ptCount val="10"/>
                <c:pt idx="0">
                  <c:v>0.0827</c:v>
                </c:pt>
                <c:pt idx="1">
                  <c:v>0.0778</c:v>
                </c:pt>
                <c:pt idx="2">
                  <c:v>0.0717</c:v>
                </c:pt>
                <c:pt idx="3">
                  <c:v>0.0724</c:v>
                </c:pt>
                <c:pt idx="4">
                  <c:v>0.0889</c:v>
                </c:pt>
                <c:pt idx="5">
                  <c:v>0.0973</c:v>
                </c:pt>
                <c:pt idx="6">
                  <c:v>0.0983</c:v>
                </c:pt>
                <c:pt idx="7">
                  <c:v>0.0998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'Zał.1_WPF_bazowy'!$C$56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'Zał.1_WPF_bazowy'!$J$56:$S$56</c:f>
              <c:numCache>
                <c:ptCount val="10"/>
                <c:pt idx="0">
                  <c:v>0.073</c:v>
                </c:pt>
                <c:pt idx="1">
                  <c:v>0.0498</c:v>
                </c:pt>
                <c:pt idx="2">
                  <c:v>0.0517</c:v>
                </c:pt>
                <c:pt idx="3">
                  <c:v>0.0593</c:v>
                </c:pt>
                <c:pt idx="4">
                  <c:v>0.0601</c:v>
                </c:pt>
                <c:pt idx="5">
                  <c:v>0.0555</c:v>
                </c:pt>
                <c:pt idx="6">
                  <c:v>0.0453</c:v>
                </c:pt>
                <c:pt idx="7">
                  <c:v>0.0143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370306"/>
        <c:axId val="32679571"/>
      </c:lineChart>
      <c:catAx>
        <c:axId val="4837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79571"/>
        <c:crosses val="autoZero"/>
        <c:auto val="1"/>
        <c:lblOffset val="100"/>
        <c:tickLblSkip val="1"/>
        <c:noMultiLvlLbl val="0"/>
      </c:catAx>
      <c:valAx>
        <c:axId val="32679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70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'Zał.1_WPF_bazowy'!$D$62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wykonanie rok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'Zał.1_WPF_bazowy'!$J$62:$S$62</c:f>
              <c:numCache>
                <c:ptCount val="10"/>
                <c:pt idx="0">
                  <c:v>0.0827</c:v>
                </c:pt>
                <c:pt idx="1">
                  <c:v>0.0778</c:v>
                </c:pt>
                <c:pt idx="2">
                  <c:v>0.0717</c:v>
                </c:pt>
                <c:pt idx="3">
                  <c:v>0.0724</c:v>
                </c:pt>
                <c:pt idx="4">
                  <c:v>0.0889</c:v>
                </c:pt>
                <c:pt idx="5">
                  <c:v>0.0973</c:v>
                </c:pt>
                <c:pt idx="6">
                  <c:v>0.0983</c:v>
                </c:pt>
                <c:pt idx="7">
                  <c:v>0.0998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'Zał.1_WPF_bazowy'!$C$59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'Zał.1_WPF_bazowy'!$J$59:$S$59</c:f>
              <c:numCache>
                <c:ptCount val="10"/>
                <c:pt idx="0">
                  <c:v>0.073</c:v>
                </c:pt>
                <c:pt idx="1">
                  <c:v>0.0498</c:v>
                </c:pt>
                <c:pt idx="2">
                  <c:v>0.0517</c:v>
                </c:pt>
                <c:pt idx="3">
                  <c:v>0.0593</c:v>
                </c:pt>
                <c:pt idx="4">
                  <c:v>0.0601</c:v>
                </c:pt>
                <c:pt idx="5">
                  <c:v>0.0555</c:v>
                </c:pt>
                <c:pt idx="6">
                  <c:v>0.0453</c:v>
                </c:pt>
                <c:pt idx="7">
                  <c:v>0.0143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5680684"/>
        <c:axId val="29799565"/>
      </c:lineChart>
      <c:catAx>
        <c:axId val="2568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99565"/>
        <c:crosses val="autoZero"/>
        <c:auto val="1"/>
        <c:lblOffset val="100"/>
        <c:tickLblSkip val="1"/>
        <c:noMultiLvlLbl val="0"/>
      </c:catAx>
      <c:valAx>
        <c:axId val="29799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80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115"/>
          <c:w val="0.969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'Zał.1_WPF_bazowy'!$C$55</c:f>
              <c:strCache>
                <c:ptCount val="1"/>
                <c:pt idx="0">
                  <c:v>Wskaźnik planowanej łącznej kwoty spłaty zobowiązań, o której mowa w art. 169 ust. 1 ufp z 2005 r. do dochodów ogółem, po uwzględnieniu wyłączeń przypadających na dany rok określonych w pkt 5.1.1.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'Zał.1_WPF_bazowy'!$J$55:$S$55</c:f>
              <c:numCache>
                <c:ptCount val="10"/>
                <c:pt idx="0">
                  <c:v>0.073</c:v>
                </c:pt>
                <c:pt idx="1">
                  <c:v>0.0498</c:v>
                </c:pt>
                <c:pt idx="2">
                  <c:v>0.0517</c:v>
                </c:pt>
                <c:pt idx="3">
                  <c:v>0.0593</c:v>
                </c:pt>
                <c:pt idx="4">
                  <c:v>0.0601</c:v>
                </c:pt>
                <c:pt idx="5">
                  <c:v>0.0555</c:v>
                </c:pt>
                <c:pt idx="6">
                  <c:v>0.0453</c:v>
                </c:pt>
                <c:pt idx="7">
                  <c:v>0.0143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6869494"/>
        <c:axId val="64954535"/>
      </c:lineChart>
      <c:catAx>
        <c:axId val="6686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54535"/>
        <c:crosses val="autoZero"/>
        <c:auto val="1"/>
        <c:lblOffset val="100"/>
        <c:tickLblSkip val="1"/>
        <c:noMultiLvlLbl val="0"/>
      </c:catAx>
      <c:valAx>
        <c:axId val="64954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69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Dochody bieżące,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'Zał.1_WPF_bazowy'!$J$11:$S$11</c:f>
              <c:numCache>
                <c:ptCount val="10"/>
                <c:pt idx="0">
                  <c:v>20746624.6</c:v>
                </c:pt>
                <c:pt idx="1">
                  <c:v>20949227.29</c:v>
                </c:pt>
                <c:pt idx="2">
                  <c:v>21570990.4</c:v>
                </c:pt>
                <c:pt idx="3">
                  <c:v>22246819.55</c:v>
                </c:pt>
                <c:pt idx="4">
                  <c:v>23114445.51</c:v>
                </c:pt>
                <c:pt idx="5">
                  <c:v>24015908.89</c:v>
                </c:pt>
                <c:pt idx="6">
                  <c:v>24952529.34</c:v>
                </c:pt>
                <c:pt idx="7">
                  <c:v>25925677.98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'Zał.1_WPF_bazowy'!$J$18:$S$18</c:f>
              <c:numCache>
                <c:ptCount val="10"/>
                <c:pt idx="0">
                  <c:v>258000</c:v>
                </c:pt>
                <c:pt idx="1">
                  <c:v>30000</c:v>
                </c:pt>
                <c:pt idx="2">
                  <c:v>30000</c:v>
                </c:pt>
                <c:pt idx="3">
                  <c:v>20000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6706506"/>
        <c:axId val="39031963"/>
      </c:barChart>
      <c:catAx>
        <c:axId val="2670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1963"/>
        <c:crosses val="autoZero"/>
        <c:auto val="1"/>
        <c:lblOffset val="100"/>
        <c:tickLblSkip val="1"/>
        <c:noMultiLvlLbl val="0"/>
      </c:catAx>
      <c:valAx>
        <c:axId val="39031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650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325"/>
          <c:y val="0.01075"/>
          <c:w val="0.747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Wydatki bieżące,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'Zał.1_WPF_bazowy'!$J$22:$S$22</c:f>
              <c:numCache>
                <c:ptCount val="10"/>
                <c:pt idx="0">
                  <c:v>19789445.6</c:v>
                </c:pt>
                <c:pt idx="1">
                  <c:v>19411928.99</c:v>
                </c:pt>
                <c:pt idx="2">
                  <c:v>19495475.14</c:v>
                </c:pt>
                <c:pt idx="3">
                  <c:v>20078095.44</c:v>
                </c:pt>
                <c:pt idx="4">
                  <c:v>20840419.26</c:v>
                </c:pt>
                <c:pt idx="5">
                  <c:v>21634436.03</c:v>
                </c:pt>
                <c:pt idx="6">
                  <c:v>22411413.47</c:v>
                </c:pt>
                <c:pt idx="7">
                  <c:v>23292670.01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'Zał.1_WPF_bazowy'!$C$28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'Zał.1_WPF_bazowy'!$J$28:$S$28</c:f>
              <c:numCache>
                <c:ptCount val="10"/>
                <c:pt idx="0">
                  <c:v>2504000</c:v>
                </c:pt>
                <c:pt idx="1">
                  <c:v>1360000</c:v>
                </c:pt>
                <c:pt idx="2">
                  <c:v>1279515.26</c:v>
                </c:pt>
                <c:pt idx="3">
                  <c:v>1138724.11</c:v>
                </c:pt>
                <c:pt idx="4">
                  <c:v>1124026.25</c:v>
                </c:pt>
                <c:pt idx="5">
                  <c:v>1257551.86</c:v>
                </c:pt>
                <c:pt idx="6">
                  <c:v>1541115.87</c:v>
                </c:pt>
                <c:pt idx="7">
                  <c:v>2383511.51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5743348"/>
        <c:axId val="7472405"/>
      </c:barChart>
      <c:catAx>
        <c:axId val="15743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72405"/>
        <c:crosses val="autoZero"/>
        <c:auto val="1"/>
        <c:lblOffset val="100"/>
        <c:tickLblSkip val="1"/>
        <c:noMultiLvlLbl val="0"/>
      </c:catAx>
      <c:valAx>
        <c:axId val="74724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4334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25"/>
          <c:y val="0.01075"/>
          <c:w val="0.630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275"/>
          <c:w val="0.96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'Zał.1_WPF_bazowy'!$C$68</c:f>
              <c:strCache>
                <c:ptCount val="1"/>
                <c:pt idx="0">
                  <c:v>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'Zał.1_WPF_bazowy'!$J$68:$S$68</c:f>
              <c:numCache>
                <c:ptCount val="10"/>
                <c:pt idx="0">
                  <c:v>9479822</c:v>
                </c:pt>
                <c:pt idx="1">
                  <c:v>9740005.48</c:v>
                </c:pt>
                <c:pt idx="2">
                  <c:v>10032205.64</c:v>
                </c:pt>
                <c:pt idx="3">
                  <c:v>10433493.87</c:v>
                </c:pt>
                <c:pt idx="4">
                  <c:v>10850833.62</c:v>
                </c:pt>
                <c:pt idx="5">
                  <c:v>11284866.97</c:v>
                </c:pt>
                <c:pt idx="6">
                  <c:v>11736261.65</c:v>
                </c:pt>
                <c:pt idx="7">
                  <c:v>12205712.11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'Zał.1_WPF_bazowy'!$C$69</c:f>
              <c:strCache>
                <c:ptCount val="1"/>
                <c:pt idx="0">
                  <c:v>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'Zał.1_WPF_bazowy'!$J$69:$S$69</c:f>
              <c:numCache>
                <c:ptCount val="10"/>
                <c:pt idx="0">
                  <c:v>2498406</c:v>
                </c:pt>
                <c:pt idx="1">
                  <c:v>2513206.87</c:v>
                </c:pt>
                <c:pt idx="2">
                  <c:v>2543365.35</c:v>
                </c:pt>
                <c:pt idx="3">
                  <c:v>2645099.97</c:v>
                </c:pt>
                <c:pt idx="4">
                  <c:v>2750903.97</c:v>
                </c:pt>
                <c:pt idx="5">
                  <c:v>2860940.12</c:v>
                </c:pt>
                <c:pt idx="6">
                  <c:v>2975377.73</c:v>
                </c:pt>
                <c:pt idx="7">
                  <c:v>3094392.84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2782"/>
        <c:axId val="1285039"/>
      </c:lineChart>
      <c:catAx>
        <c:axId val="1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039"/>
        <c:crosses val="autoZero"/>
        <c:auto val="1"/>
        <c:lblOffset val="100"/>
        <c:tickLblSkip val="1"/>
        <c:noMultiLvlLbl val="0"/>
      </c:catAx>
      <c:valAx>
        <c:axId val="12850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78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975"/>
          <c:y val="0.01075"/>
          <c:w val="0.79625"/>
          <c:h val="0.2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975"/>
          <c:w val="0.95825"/>
          <c:h val="0.785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'Zał.1_WPF_bazowy'!$D$71</c:f>
              <c:strCache>
                <c:ptCount val="1"/>
                <c:pt idx="0">
                  <c:v>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'Zał.1_WPF_bazowy'!$J$71:$S$71</c:f>
              <c:numCache>
                <c:ptCount val="10"/>
                <c:pt idx="0">
                  <c:v>234789.15</c:v>
                </c:pt>
                <c:pt idx="1">
                  <c:v>316789.29</c:v>
                </c:pt>
                <c:pt idx="2">
                  <c:v>174221.8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'Zał.1_WPF_bazowy'!$D$72</c:f>
              <c:strCache>
                <c:ptCount val="1"/>
                <c:pt idx="0">
                  <c:v>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'Zał.1_WPF_bazowy'!$J$72:$S$72</c:f>
              <c:numCache>
                <c:ptCount val="10"/>
                <c:pt idx="0">
                  <c:v>2067000</c:v>
                </c:pt>
                <c:pt idx="1">
                  <c:v>690000</c:v>
                </c:pt>
                <c:pt idx="2">
                  <c:v>445500</c:v>
                </c:pt>
                <c:pt idx="3">
                  <c:v>700000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1565352"/>
        <c:axId val="36979305"/>
      </c:line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79305"/>
        <c:crosses val="autoZero"/>
        <c:auto val="1"/>
        <c:lblOffset val="100"/>
        <c:tickLblSkip val="1"/>
        <c:noMultiLvlLbl val="0"/>
      </c:catAx>
      <c:valAx>
        <c:axId val="369793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6535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25"/>
          <c:y val="0.12225"/>
          <c:w val="0.399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3645"/>
          <c:w val="0.95825"/>
          <c:h val="0.636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'Zał.1_WPF_bazowy'!$C$40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'Zał.1_WPF_bazowy'!$J$40:$S$40</c:f>
              <c:numCache>
                <c:ptCount val="10"/>
                <c:pt idx="0">
                  <c:v>1133995</c:v>
                </c:pt>
                <c:pt idx="1">
                  <c:v>694000</c:v>
                </c:pt>
                <c:pt idx="2">
                  <c:v>826000</c:v>
                </c:pt>
                <c:pt idx="3">
                  <c:v>1050000</c:v>
                </c:pt>
                <c:pt idx="4">
                  <c:v>1150000</c:v>
                </c:pt>
                <c:pt idx="5">
                  <c:v>1123921</c:v>
                </c:pt>
                <c:pt idx="6">
                  <c:v>1000000</c:v>
                </c:pt>
                <c:pt idx="7">
                  <c:v>249496.46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'Zał.1_WPF_bazowy'!$C$28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'Zał.1_WPF_bazowy'!$J$28:$S$28</c:f>
              <c:numCache>
                <c:ptCount val="10"/>
                <c:pt idx="0">
                  <c:v>2504000</c:v>
                </c:pt>
                <c:pt idx="1">
                  <c:v>1360000</c:v>
                </c:pt>
                <c:pt idx="2">
                  <c:v>1279515.26</c:v>
                </c:pt>
                <c:pt idx="3">
                  <c:v>1138724.11</c:v>
                </c:pt>
                <c:pt idx="4">
                  <c:v>1124026.25</c:v>
                </c:pt>
                <c:pt idx="5">
                  <c:v>1257551.86</c:v>
                </c:pt>
                <c:pt idx="6">
                  <c:v>1541115.87</c:v>
                </c:pt>
                <c:pt idx="7">
                  <c:v>2383511.51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64378290"/>
        <c:axId val="42533699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Różnica między dochodami bieżącymi a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'Zał.1_WPF_bazowy'!$J$9:$T$9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'Zał.1_WPF_bazowy'!$J$51:$S$51</c:f>
              <c:numCache>
                <c:ptCount val="10"/>
                <c:pt idx="0">
                  <c:v>957179</c:v>
                </c:pt>
                <c:pt idx="1">
                  <c:v>1537298.3</c:v>
                </c:pt>
                <c:pt idx="2">
                  <c:v>2075515.26</c:v>
                </c:pt>
                <c:pt idx="3">
                  <c:v>2168724.11</c:v>
                </c:pt>
                <c:pt idx="4">
                  <c:v>2274026.25</c:v>
                </c:pt>
                <c:pt idx="5">
                  <c:v>2381472.86</c:v>
                </c:pt>
                <c:pt idx="6">
                  <c:v>2541115.87</c:v>
                </c:pt>
                <c:pt idx="7">
                  <c:v>2633007.97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64378290"/>
        <c:axId val="42533699"/>
      </c:lineChart>
      <c:catAx>
        <c:axId val="643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3699"/>
        <c:crosses val="autoZero"/>
        <c:auto val="1"/>
        <c:lblOffset val="100"/>
        <c:tickLblSkip val="1"/>
        <c:noMultiLvlLbl val="0"/>
      </c:catAx>
      <c:valAx>
        <c:axId val="425336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7829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75"/>
          <c:y val="0.01075"/>
          <c:w val="0.766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95"/>
          <c:w val="0.969"/>
          <c:h val="0.84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'Zał.1_WPF_bazowy'!$C$47</c:f>
              <c:strCache>
                <c:ptCount val="1"/>
                <c:pt idx="0">
                  <c:v>Wskaźnik zadłużenia do dochodów ogółem określony w art. 170 ufp z 2005 r.,  bez uwzględniania wyłączeń określonych w pkt 6.1.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'Zał.1_WPF_bazowy'!$J$47:$S$47</c:f>
              <c:numCache>
                <c:ptCount val="10"/>
                <c:pt idx="0">
                  <c:v>0.2669</c:v>
                </c:pt>
                <c:pt idx="1">
                  <c:v>0.2574</c:v>
                </c:pt>
                <c:pt idx="2">
                  <c:v>0.2117</c:v>
                </c:pt>
                <c:pt idx="3">
                  <c:v>0.1582</c:v>
                </c:pt>
                <c:pt idx="4">
                  <c:v>0.1027</c:v>
                </c:pt>
                <c:pt idx="5">
                  <c:v>0.052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258972"/>
        <c:axId val="22677565"/>
      </c:lineChart>
      <c:catAx>
        <c:axId val="47258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77565"/>
        <c:crosses val="autoZero"/>
        <c:auto val="1"/>
        <c:lblOffset val="100"/>
        <c:tickLblSkip val="1"/>
        <c:noMultiLvlLbl val="0"/>
      </c:catAx>
      <c:valAx>
        <c:axId val="22677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58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115"/>
          <c:w val="0.969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'Zał.1_WPF_bazowy'!$C$54</c:f>
              <c:strCache>
                <c:ptCount val="1"/>
                <c:pt idx="0">
                  <c:v>Wskaźnik planowanej łącznej kwoty spłaty zobowiązań, o której mowa w art. 169 ust. 1 ufp z 2005 r. do dochodów ogółem, bez uwzględnienia wyłączeń określonych w pkt 5.1.1. 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'Zał.1_WPF_bazowy'!$J$54:$S$54</c:f>
              <c:numCache>
                <c:ptCount val="10"/>
                <c:pt idx="0">
                  <c:v>0.073</c:v>
                </c:pt>
                <c:pt idx="1">
                  <c:v>0.0498</c:v>
                </c:pt>
                <c:pt idx="2">
                  <c:v>0.0517</c:v>
                </c:pt>
                <c:pt idx="3">
                  <c:v>0.0593</c:v>
                </c:pt>
                <c:pt idx="4">
                  <c:v>0.0601</c:v>
                </c:pt>
                <c:pt idx="5">
                  <c:v>0.0555</c:v>
                </c:pt>
                <c:pt idx="6">
                  <c:v>0.0453</c:v>
                </c:pt>
                <c:pt idx="7">
                  <c:v>0.0143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771494"/>
        <c:axId val="24943447"/>
      </c:lineChart>
      <c:catAx>
        <c:axId val="2771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43447"/>
        <c:crosses val="autoZero"/>
        <c:auto val="1"/>
        <c:lblOffset val="100"/>
        <c:tickLblSkip val="1"/>
        <c:noMultiLvlLbl val="0"/>
      </c:catAx>
      <c:valAx>
        <c:axId val="24943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1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'Zał.1_WPF_bazowy'!$C$61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plan 3 kwarta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'Zał.1_WPF_bazowy'!$J$61:$S$61</c:f>
              <c:numCache>
                <c:ptCount val="10"/>
                <c:pt idx="0">
                  <c:v>0.0549</c:v>
                </c:pt>
                <c:pt idx="1">
                  <c:v>0.0499</c:v>
                </c:pt>
                <c:pt idx="2">
                  <c:v>0.0439</c:v>
                </c:pt>
                <c:pt idx="3">
                  <c:v>0.0724</c:v>
                </c:pt>
                <c:pt idx="4">
                  <c:v>0.0889</c:v>
                </c:pt>
                <c:pt idx="5">
                  <c:v>0.0973</c:v>
                </c:pt>
                <c:pt idx="6">
                  <c:v>0.0983</c:v>
                </c:pt>
                <c:pt idx="7">
                  <c:v>0.0998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'Zał.1_WPF_bazowy'!$C$56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'Zał.1_WPF_bazowy'!$J$56:$S$56</c:f>
              <c:numCache>
                <c:ptCount val="10"/>
                <c:pt idx="0">
                  <c:v>0.073</c:v>
                </c:pt>
                <c:pt idx="1">
                  <c:v>0.0498</c:v>
                </c:pt>
                <c:pt idx="2">
                  <c:v>0.0517</c:v>
                </c:pt>
                <c:pt idx="3">
                  <c:v>0.0593</c:v>
                </c:pt>
                <c:pt idx="4">
                  <c:v>0.0601</c:v>
                </c:pt>
                <c:pt idx="5">
                  <c:v>0.0555</c:v>
                </c:pt>
                <c:pt idx="6">
                  <c:v>0.0453</c:v>
                </c:pt>
                <c:pt idx="7">
                  <c:v>0.0143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3164432"/>
        <c:axId val="7153297"/>
      </c:lineChart>
      <c:catAx>
        <c:axId val="231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53297"/>
        <c:crosses val="autoZero"/>
        <c:auto val="1"/>
        <c:lblOffset val="100"/>
        <c:tickLblSkip val="1"/>
        <c:noMultiLvlLbl val="0"/>
      </c:catAx>
      <c:valAx>
        <c:axId val="7153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64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AN253"/>
  <sheetViews>
    <sheetView tabSelected="1" view="pageBreakPreview" zoomScaleNormal="90" zoomScaleSheetLayoutView="100" zoomScalePageLayoutView="0" workbookViewId="0" topLeftCell="A1">
      <pane xSplit="5" ySplit="9" topLeftCell="O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7" sqref="E7"/>
    </sheetView>
  </sheetViews>
  <sheetFormatPr defaultColWidth="8.796875" defaultRowHeight="14.25" outlineLevelRow="3" outlineLevelCol="1"/>
  <cols>
    <col min="1" max="1" width="5.69921875" style="1" bestFit="1" customWidth="1"/>
    <col min="2" max="4" width="1.69921875" style="1" customWidth="1"/>
    <col min="5" max="5" width="65.5" style="1" customWidth="1"/>
    <col min="6" max="9" width="14" style="1" customWidth="1" outlineLevel="1"/>
    <col min="10" max="39" width="14" style="1" customWidth="1"/>
  </cols>
  <sheetData>
    <row r="1" spans="2:40" ht="14.25">
      <c r="B1" s="160"/>
      <c r="C1" s="159"/>
      <c r="D1" s="159"/>
      <c r="E1" s="241"/>
      <c r="F1" s="159"/>
      <c r="G1" s="159"/>
      <c r="H1" s="159"/>
      <c r="I1" s="159"/>
      <c r="J1" s="161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60"/>
    </row>
    <row r="2" spans="1:40" ht="15">
      <c r="A2" s="242"/>
      <c r="B2" s="243"/>
      <c r="C2" s="244"/>
      <c r="D2" s="244"/>
      <c r="E2" s="243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60"/>
    </row>
    <row r="3" spans="1:40" ht="14.25">
      <c r="A3" s="160"/>
      <c r="B3" s="160"/>
      <c r="C3" s="159"/>
      <c r="D3" s="159"/>
      <c r="E3" s="245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60"/>
    </row>
    <row r="4" spans="1:40" ht="14.25">
      <c r="A4" s="159"/>
      <c r="B4" s="161"/>
      <c r="C4" s="159"/>
      <c r="D4" s="159"/>
      <c r="E4" s="245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60"/>
    </row>
    <row r="5" spans="1:40" ht="15">
      <c r="A5" s="172"/>
      <c r="B5" s="172"/>
      <c r="C5" s="172"/>
      <c r="D5" s="246"/>
      <c r="E5" s="165"/>
      <c r="F5" s="172"/>
      <c r="G5" s="217"/>
      <c r="H5" s="247"/>
      <c r="I5" s="172"/>
      <c r="J5" s="172"/>
      <c r="K5" s="172"/>
      <c r="L5" s="172"/>
      <c r="M5" s="159"/>
      <c r="N5" s="172"/>
      <c r="O5" s="245"/>
      <c r="P5" s="245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60"/>
    </row>
    <row r="6" spans="1:40" ht="15">
      <c r="A6" s="172"/>
      <c r="B6" s="172"/>
      <c r="C6" s="172"/>
      <c r="D6" s="164"/>
      <c r="E6" s="66"/>
      <c r="F6" s="172"/>
      <c r="G6" s="249"/>
      <c r="H6" s="169"/>
      <c r="I6" s="169"/>
      <c r="J6" s="172"/>
      <c r="K6" s="172"/>
      <c r="L6" s="172"/>
      <c r="M6" s="158"/>
      <c r="N6" s="172"/>
      <c r="O6" s="245"/>
      <c r="P6" s="245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</row>
    <row r="7" spans="1:40" ht="15">
      <c r="A7" s="172"/>
      <c r="B7" s="172"/>
      <c r="C7" s="172"/>
      <c r="D7" s="170"/>
      <c r="E7" s="621" t="s">
        <v>496</v>
      </c>
      <c r="F7" s="172"/>
      <c r="G7" s="172"/>
      <c r="H7" s="171"/>
      <c r="I7" s="171"/>
      <c r="J7" s="172"/>
      <c r="K7" s="172"/>
      <c r="L7" s="172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60"/>
    </row>
    <row r="8" spans="1:40" ht="15.75">
      <c r="A8" s="159"/>
      <c r="B8" s="172"/>
      <c r="C8" s="414"/>
      <c r="D8" s="414"/>
      <c r="E8" s="172"/>
      <c r="F8" s="622" t="s">
        <v>457</v>
      </c>
      <c r="G8" s="622"/>
      <c r="H8" s="415" t="s">
        <v>456</v>
      </c>
      <c r="I8" s="415" t="s">
        <v>457</v>
      </c>
      <c r="J8" s="428">
        <f>""</f>
      </c>
      <c r="K8" s="414"/>
      <c r="L8" s="414"/>
      <c r="M8" s="414"/>
      <c r="N8" s="414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</row>
    <row r="9" spans="1:40" ht="14.25">
      <c r="A9" s="42" t="s">
        <v>0</v>
      </c>
      <c r="B9" s="627" t="s">
        <v>1</v>
      </c>
      <c r="C9" s="628"/>
      <c r="D9" s="628"/>
      <c r="E9" s="628"/>
      <c r="F9" s="103" t="s">
        <v>453</v>
      </c>
      <c r="G9" s="49" t="s">
        <v>454</v>
      </c>
      <c r="H9" s="49" t="s">
        <v>455</v>
      </c>
      <c r="I9" s="50" t="s">
        <v>455</v>
      </c>
      <c r="J9" s="48">
        <f>+definicja!E9</f>
        <v>2013</v>
      </c>
      <c r="K9" s="43">
        <f>+definicja!F9</f>
        <v>2014</v>
      </c>
      <c r="L9" s="43">
        <f>+definicja!G9</f>
        <v>2015</v>
      </c>
      <c r="M9" s="43">
        <f>+definicja!H9</f>
        <v>2016</v>
      </c>
      <c r="N9" s="43">
        <f>+definicja!I9</f>
        <v>2017</v>
      </c>
      <c r="O9" s="43">
        <f>+definicja!J9</f>
        <v>2018</v>
      </c>
      <c r="P9" s="43">
        <f>+definicja!K9</f>
        <v>2019</v>
      </c>
      <c r="Q9" s="43">
        <f>+definicja!L9</f>
        <v>2020</v>
      </c>
      <c r="R9" s="43">
        <f>+definicja!M9</f>
        <v>2021</v>
      </c>
      <c r="S9" s="43">
        <f>+definicja!N9</f>
        <v>2022</v>
      </c>
      <c r="T9" s="43">
        <f>+definicja!O9</f>
        <v>2023</v>
      </c>
      <c r="U9" s="43">
        <f>+definicja!P9</f>
        <v>2024</v>
      </c>
      <c r="V9" s="43">
        <f>+definicja!Q9</f>
        <v>2025</v>
      </c>
      <c r="W9" s="43">
        <f>+definicja!R9</f>
        <v>2026</v>
      </c>
      <c r="X9" s="43">
        <f>+definicja!S9</f>
        <v>2027</v>
      </c>
      <c r="Y9" s="43">
        <f>+definicja!T9</f>
        <v>2028</v>
      </c>
      <c r="Z9" s="43">
        <f>+definicja!U9</f>
        <v>2029</v>
      </c>
      <c r="AA9" s="43">
        <f>+definicja!V9</f>
        <v>2030</v>
      </c>
      <c r="AB9" s="43">
        <f>+definicja!W9</f>
        <v>2031</v>
      </c>
      <c r="AC9" s="43">
        <f>+definicja!X9</f>
        <v>2032</v>
      </c>
      <c r="AD9" s="43">
        <f>+definicja!Y9</f>
        <v>2033</v>
      </c>
      <c r="AE9" s="43">
        <f>+definicja!Z9</f>
        <v>2034</v>
      </c>
      <c r="AF9" s="43">
        <f>+definicja!AA9</f>
        <v>2035</v>
      </c>
      <c r="AG9" s="43">
        <f>+definicja!AB9</f>
        <v>2036</v>
      </c>
      <c r="AH9" s="43">
        <f>+definicja!AC9</f>
        <v>2037</v>
      </c>
      <c r="AI9" s="43">
        <f>+definicja!AD9</f>
        <v>2038</v>
      </c>
      <c r="AJ9" s="43">
        <f>+definicja!AE9</f>
        <v>2039</v>
      </c>
      <c r="AK9" s="43">
        <f>+definicja!AF9</f>
        <v>2040</v>
      </c>
      <c r="AL9" s="43">
        <f>+definicja!AG9</f>
        <v>2041</v>
      </c>
      <c r="AM9" s="44">
        <f>+definicja!AH9</f>
        <v>2042</v>
      </c>
      <c r="AN9" s="45"/>
    </row>
    <row r="10" spans="1:40" ht="15" customHeight="1" outlineLevel="1">
      <c r="A10" s="51">
        <v>1</v>
      </c>
      <c r="B10" s="625" t="s">
        <v>26</v>
      </c>
      <c r="C10" s="626"/>
      <c r="D10" s="626"/>
      <c r="E10" s="626"/>
      <c r="F10" s="104">
        <f>17384905.11</f>
        <v>17384905.11</v>
      </c>
      <c r="G10" s="54">
        <f>17642423.29</f>
        <v>17642423.29</v>
      </c>
      <c r="H10" s="54">
        <f>19217578.4</f>
        <v>19217578.4</v>
      </c>
      <c r="I10" s="55">
        <f>19501354.62</f>
        <v>19501354.62</v>
      </c>
      <c r="J10" s="56">
        <f>21004624.6</f>
        <v>21004624.6</v>
      </c>
      <c r="K10" s="57">
        <f>20979227.29</f>
        <v>20979227.29</v>
      </c>
      <c r="L10" s="57">
        <f>21600990.4</f>
        <v>21600990.4</v>
      </c>
      <c r="M10" s="57">
        <f>22266819.55</f>
        <v>22266819.55</v>
      </c>
      <c r="N10" s="57">
        <f>23114445.51</f>
        <v>23114445.51</v>
      </c>
      <c r="O10" s="57">
        <f>24015908.89</f>
        <v>24015908.89</v>
      </c>
      <c r="P10" s="57">
        <f>24952529.34</f>
        <v>24952529.34</v>
      </c>
      <c r="Q10" s="57">
        <f>25925677.98</f>
        <v>25925677.98</v>
      </c>
      <c r="R10" s="57">
        <f>0</f>
        <v>0</v>
      </c>
      <c r="S10" s="57">
        <f>0</f>
        <v>0</v>
      </c>
      <c r="T10" s="57">
        <f>0</f>
        <v>0</v>
      </c>
      <c r="U10" s="57">
        <f>0</f>
        <v>0</v>
      </c>
      <c r="V10" s="57">
        <f>0</f>
        <v>0</v>
      </c>
      <c r="W10" s="57">
        <f>0</f>
        <v>0</v>
      </c>
      <c r="X10" s="57">
        <f>0</f>
        <v>0</v>
      </c>
      <c r="Y10" s="57">
        <f>0</f>
        <v>0</v>
      </c>
      <c r="Z10" s="57">
        <f>0</f>
        <v>0</v>
      </c>
      <c r="AA10" s="57">
        <f>0</f>
        <v>0</v>
      </c>
      <c r="AB10" s="57">
        <f>0</f>
        <v>0</v>
      </c>
      <c r="AC10" s="57">
        <f>0</f>
        <v>0</v>
      </c>
      <c r="AD10" s="57">
        <f>0</f>
        <v>0</v>
      </c>
      <c r="AE10" s="57">
        <f>0</f>
        <v>0</v>
      </c>
      <c r="AF10" s="57">
        <f>0</f>
        <v>0</v>
      </c>
      <c r="AG10" s="57">
        <f>0</f>
        <v>0</v>
      </c>
      <c r="AH10" s="57">
        <f>0</f>
        <v>0</v>
      </c>
      <c r="AI10" s="57">
        <f>0</f>
        <v>0</v>
      </c>
      <c r="AJ10" s="57">
        <f>0</f>
        <v>0</v>
      </c>
      <c r="AK10" s="57">
        <f>0</f>
        <v>0</v>
      </c>
      <c r="AL10" s="57">
        <f>0</f>
        <v>0</v>
      </c>
      <c r="AM10" s="58">
        <f>0</f>
        <v>0</v>
      </c>
      <c r="AN10" s="46"/>
    </row>
    <row r="11" spans="1:39" ht="15" customHeight="1" outlineLevel="2">
      <c r="A11" s="52" t="s">
        <v>168</v>
      </c>
      <c r="B11" s="39"/>
      <c r="C11" s="623" t="s">
        <v>232</v>
      </c>
      <c r="D11" s="623"/>
      <c r="E11" s="623"/>
      <c r="F11" s="105">
        <f>16382877.29</f>
        <v>16382877.29</v>
      </c>
      <c r="G11" s="59">
        <f>17470618.27</f>
        <v>17470618.27</v>
      </c>
      <c r="H11" s="59">
        <f>18650804.4</f>
        <v>18650804.4</v>
      </c>
      <c r="I11" s="60">
        <f>19055099.62</f>
        <v>19055099.62</v>
      </c>
      <c r="J11" s="61">
        <f>20746624.6</f>
        <v>20746624.6</v>
      </c>
      <c r="K11" s="62">
        <f>20949227.29</f>
        <v>20949227.29</v>
      </c>
      <c r="L11" s="62">
        <f>21570990.4</f>
        <v>21570990.4</v>
      </c>
      <c r="M11" s="62">
        <f>22246819.55</f>
        <v>22246819.55</v>
      </c>
      <c r="N11" s="62">
        <f>23114445.51</f>
        <v>23114445.51</v>
      </c>
      <c r="O11" s="62">
        <f>24015908.89</f>
        <v>24015908.89</v>
      </c>
      <c r="P11" s="62">
        <f>24952529.34</f>
        <v>24952529.34</v>
      </c>
      <c r="Q11" s="62">
        <f>25925677.98</f>
        <v>25925677.98</v>
      </c>
      <c r="R11" s="62">
        <f>0</f>
        <v>0</v>
      </c>
      <c r="S11" s="62">
        <f>0</f>
        <v>0</v>
      </c>
      <c r="T11" s="62">
        <f>0</f>
        <v>0</v>
      </c>
      <c r="U11" s="62">
        <f>0</f>
        <v>0</v>
      </c>
      <c r="V11" s="62">
        <f>0</f>
        <v>0</v>
      </c>
      <c r="W11" s="62">
        <f>0</f>
        <v>0</v>
      </c>
      <c r="X11" s="62">
        <f>0</f>
        <v>0</v>
      </c>
      <c r="Y11" s="62">
        <f>0</f>
        <v>0</v>
      </c>
      <c r="Z11" s="62">
        <f>0</f>
        <v>0</v>
      </c>
      <c r="AA11" s="62">
        <f>0</f>
        <v>0</v>
      </c>
      <c r="AB11" s="62">
        <f>0</f>
        <v>0</v>
      </c>
      <c r="AC11" s="62">
        <f>0</f>
        <v>0</v>
      </c>
      <c r="AD11" s="62">
        <f>0</f>
        <v>0</v>
      </c>
      <c r="AE11" s="62">
        <f>0</f>
        <v>0</v>
      </c>
      <c r="AF11" s="62">
        <f>0</f>
        <v>0</v>
      </c>
      <c r="AG11" s="62">
        <f>0</f>
        <v>0</v>
      </c>
      <c r="AH11" s="62">
        <f>0</f>
        <v>0</v>
      </c>
      <c r="AI11" s="62">
        <f>0</f>
        <v>0</v>
      </c>
      <c r="AJ11" s="62">
        <f>0</f>
        <v>0</v>
      </c>
      <c r="AK11" s="62">
        <f>0</f>
        <v>0</v>
      </c>
      <c r="AL11" s="62">
        <f>0</f>
        <v>0</v>
      </c>
      <c r="AM11" s="63">
        <f>0</f>
        <v>0</v>
      </c>
    </row>
    <row r="12" spans="1:39" ht="15" customHeight="1" outlineLevel="2">
      <c r="A12" s="52" t="s">
        <v>48</v>
      </c>
      <c r="B12" s="39"/>
      <c r="C12" s="40"/>
      <c r="D12" s="623" t="s">
        <v>219</v>
      </c>
      <c r="E12" s="623"/>
      <c r="F12" s="105">
        <f>4196006</f>
        <v>4196006</v>
      </c>
      <c r="G12" s="59">
        <f>4802827</f>
        <v>4802827</v>
      </c>
      <c r="H12" s="59">
        <f>5087153</f>
        <v>5087153</v>
      </c>
      <c r="I12" s="60">
        <f>4945951</f>
        <v>4945951</v>
      </c>
      <c r="J12" s="61">
        <f>5808504</f>
        <v>5808504</v>
      </c>
      <c r="K12" s="62">
        <f>6035035.66</f>
        <v>6035035.66</v>
      </c>
      <c r="L12" s="62">
        <f>6240226.87</f>
        <v>6240226.87</v>
      </c>
      <c r="M12" s="62">
        <f>6483595.72</f>
        <v>6483595.72</v>
      </c>
      <c r="N12" s="62">
        <f>6736455.95</f>
        <v>6736455.95</v>
      </c>
      <c r="O12" s="62">
        <f>6999177.73</f>
        <v>6999177.73</v>
      </c>
      <c r="P12" s="62">
        <f>7272145.66</f>
        <v>7272145.66</v>
      </c>
      <c r="Q12" s="62">
        <f>7555759.34</f>
        <v>7555759.34</v>
      </c>
      <c r="R12" s="62">
        <f>0</f>
        <v>0</v>
      </c>
      <c r="S12" s="62">
        <f>0</f>
        <v>0</v>
      </c>
      <c r="T12" s="62">
        <f>0</f>
        <v>0</v>
      </c>
      <c r="U12" s="62">
        <f>0</f>
        <v>0</v>
      </c>
      <c r="V12" s="62">
        <f>0</f>
        <v>0</v>
      </c>
      <c r="W12" s="62">
        <f>0</f>
        <v>0</v>
      </c>
      <c r="X12" s="62">
        <f>0</f>
        <v>0</v>
      </c>
      <c r="Y12" s="62">
        <f>0</f>
        <v>0</v>
      </c>
      <c r="Z12" s="62">
        <f>0</f>
        <v>0</v>
      </c>
      <c r="AA12" s="62">
        <f>0</f>
        <v>0</v>
      </c>
      <c r="AB12" s="62">
        <f>0</f>
        <v>0</v>
      </c>
      <c r="AC12" s="62">
        <f>0</f>
        <v>0</v>
      </c>
      <c r="AD12" s="62">
        <f>0</f>
        <v>0</v>
      </c>
      <c r="AE12" s="62">
        <f>0</f>
        <v>0</v>
      </c>
      <c r="AF12" s="62">
        <f>0</f>
        <v>0</v>
      </c>
      <c r="AG12" s="62">
        <f>0</f>
        <v>0</v>
      </c>
      <c r="AH12" s="62">
        <f>0</f>
        <v>0</v>
      </c>
      <c r="AI12" s="62">
        <f>0</f>
        <v>0</v>
      </c>
      <c r="AJ12" s="62">
        <f>0</f>
        <v>0</v>
      </c>
      <c r="AK12" s="62">
        <f>0</f>
        <v>0</v>
      </c>
      <c r="AL12" s="62">
        <f>0</f>
        <v>0</v>
      </c>
      <c r="AM12" s="63">
        <f>0</f>
        <v>0</v>
      </c>
    </row>
    <row r="13" spans="1:39" ht="15" customHeight="1" outlineLevel="2">
      <c r="A13" s="52" t="s">
        <v>50</v>
      </c>
      <c r="B13" s="39"/>
      <c r="C13" s="40"/>
      <c r="D13" s="623" t="s">
        <v>220</v>
      </c>
      <c r="E13" s="623"/>
      <c r="F13" s="105">
        <f>21346.49</f>
        <v>21346.49</v>
      </c>
      <c r="G13" s="59">
        <f>-130754.16</f>
        <v>-130754.16</v>
      </c>
      <c r="H13" s="59">
        <f>40000</f>
        <v>40000</v>
      </c>
      <c r="I13" s="60">
        <f>56520.62</f>
        <v>56520.62</v>
      </c>
      <c r="J13" s="61">
        <f>55000</f>
        <v>55000</v>
      </c>
      <c r="K13" s="62">
        <f>57145</f>
        <v>57145</v>
      </c>
      <c r="L13" s="62">
        <f>59087.93</f>
        <v>59087.93</v>
      </c>
      <c r="M13" s="62">
        <f>61392.36</f>
        <v>61392.36</v>
      </c>
      <c r="N13" s="62">
        <f>63786.66</f>
        <v>63786.66</v>
      </c>
      <c r="O13" s="62">
        <f>66274.34</f>
        <v>66274.34</v>
      </c>
      <c r="P13" s="62">
        <f>68859.04</f>
        <v>68859.04</v>
      </c>
      <c r="Q13" s="62">
        <f>71544.54</f>
        <v>71544.54</v>
      </c>
      <c r="R13" s="62">
        <f>0</f>
        <v>0</v>
      </c>
      <c r="S13" s="62">
        <f>0</f>
        <v>0</v>
      </c>
      <c r="T13" s="62">
        <f>0</f>
        <v>0</v>
      </c>
      <c r="U13" s="62">
        <f>0</f>
        <v>0</v>
      </c>
      <c r="V13" s="62">
        <f>0</f>
        <v>0</v>
      </c>
      <c r="W13" s="62">
        <f>0</f>
        <v>0</v>
      </c>
      <c r="X13" s="62">
        <f>0</f>
        <v>0</v>
      </c>
      <c r="Y13" s="62">
        <f>0</f>
        <v>0</v>
      </c>
      <c r="Z13" s="62">
        <f>0</f>
        <v>0</v>
      </c>
      <c r="AA13" s="62">
        <f>0</f>
        <v>0</v>
      </c>
      <c r="AB13" s="62">
        <f>0</f>
        <v>0</v>
      </c>
      <c r="AC13" s="62">
        <f>0</f>
        <v>0</v>
      </c>
      <c r="AD13" s="62">
        <f>0</f>
        <v>0</v>
      </c>
      <c r="AE13" s="62">
        <f>0</f>
        <v>0</v>
      </c>
      <c r="AF13" s="62">
        <f>0</f>
        <v>0</v>
      </c>
      <c r="AG13" s="62">
        <f>0</f>
        <v>0</v>
      </c>
      <c r="AH13" s="62">
        <f>0</f>
        <v>0</v>
      </c>
      <c r="AI13" s="62">
        <f>0</f>
        <v>0</v>
      </c>
      <c r="AJ13" s="62">
        <f>0</f>
        <v>0</v>
      </c>
      <c r="AK13" s="62">
        <f>0</f>
        <v>0</v>
      </c>
      <c r="AL13" s="62">
        <f>0</f>
        <v>0</v>
      </c>
      <c r="AM13" s="63">
        <f>0</f>
        <v>0</v>
      </c>
    </row>
    <row r="14" spans="1:39" ht="15" customHeight="1" outlineLevel="2">
      <c r="A14" s="52" t="s">
        <v>52</v>
      </c>
      <c r="B14" s="39"/>
      <c r="C14" s="40"/>
      <c r="D14" s="623" t="s">
        <v>224</v>
      </c>
      <c r="E14" s="623"/>
      <c r="F14" s="105">
        <f>3145339.71</f>
        <v>3145339.71</v>
      </c>
      <c r="G14" s="59">
        <f>3555780.16</f>
        <v>3555780.16</v>
      </c>
      <c r="H14" s="59">
        <f>3628692</f>
        <v>3628692</v>
      </c>
      <c r="I14" s="60">
        <f>4152975.19</f>
        <v>4152975.19</v>
      </c>
      <c r="J14" s="61">
        <f>4503938</f>
        <v>4503938</v>
      </c>
      <c r="K14" s="62">
        <f>4636992.58</f>
        <v>4636992.58</v>
      </c>
      <c r="L14" s="62">
        <f>4794650.33</f>
        <v>4794650.33</v>
      </c>
      <c r="M14" s="62">
        <f>4981641.69</f>
        <v>4981641.69</v>
      </c>
      <c r="N14" s="62">
        <f>5175925.72</f>
        <v>5175925.72</v>
      </c>
      <c r="O14" s="62">
        <f>5377786.82</f>
        <v>5377786.82</v>
      </c>
      <c r="P14" s="62">
        <f>5587520.51</f>
        <v>5587520.51</v>
      </c>
      <c r="Q14" s="62">
        <f>5805433.81</f>
        <v>5805433.81</v>
      </c>
      <c r="R14" s="62">
        <f>0</f>
        <v>0</v>
      </c>
      <c r="S14" s="62">
        <f>0</f>
        <v>0</v>
      </c>
      <c r="T14" s="62">
        <f>0</f>
        <v>0</v>
      </c>
      <c r="U14" s="62">
        <f>0</f>
        <v>0</v>
      </c>
      <c r="V14" s="62">
        <f>0</f>
        <v>0</v>
      </c>
      <c r="W14" s="62">
        <f>0</f>
        <v>0</v>
      </c>
      <c r="X14" s="62">
        <f>0</f>
        <v>0</v>
      </c>
      <c r="Y14" s="62">
        <f>0</f>
        <v>0</v>
      </c>
      <c r="Z14" s="62">
        <f>0</f>
        <v>0</v>
      </c>
      <c r="AA14" s="62">
        <f>0</f>
        <v>0</v>
      </c>
      <c r="AB14" s="62">
        <f>0</f>
        <v>0</v>
      </c>
      <c r="AC14" s="62">
        <f>0</f>
        <v>0</v>
      </c>
      <c r="AD14" s="62">
        <f>0</f>
        <v>0</v>
      </c>
      <c r="AE14" s="62">
        <f>0</f>
        <v>0</v>
      </c>
      <c r="AF14" s="62">
        <f>0</f>
        <v>0</v>
      </c>
      <c r="AG14" s="62">
        <f>0</f>
        <v>0</v>
      </c>
      <c r="AH14" s="62">
        <f>0</f>
        <v>0</v>
      </c>
      <c r="AI14" s="62">
        <f>0</f>
        <v>0</v>
      </c>
      <c r="AJ14" s="62">
        <f>0</f>
        <v>0</v>
      </c>
      <c r="AK14" s="62">
        <f>0</f>
        <v>0</v>
      </c>
      <c r="AL14" s="62">
        <f>0</f>
        <v>0</v>
      </c>
      <c r="AM14" s="63">
        <f>0</f>
        <v>0</v>
      </c>
    </row>
    <row r="15" spans="1:39" ht="15" customHeight="1" outlineLevel="2">
      <c r="A15" s="52" t="s">
        <v>54</v>
      </c>
      <c r="B15" s="39"/>
      <c r="C15" s="40"/>
      <c r="D15" s="40"/>
      <c r="E15" s="47" t="s">
        <v>221</v>
      </c>
      <c r="F15" s="105">
        <f>2332373.96</f>
        <v>2332373.96</v>
      </c>
      <c r="G15" s="59">
        <f>2621259.48</f>
        <v>2621259.48</v>
      </c>
      <c r="H15" s="59">
        <f>2701400</f>
        <v>2701400</v>
      </c>
      <c r="I15" s="60">
        <f>2799117.53</f>
        <v>2799117.53</v>
      </c>
      <c r="J15" s="61">
        <f>2918832</f>
        <v>2918832</v>
      </c>
      <c r="K15" s="62">
        <f>3032666.45</f>
        <v>3032666.45</v>
      </c>
      <c r="L15" s="62">
        <f>3135777.11</f>
        <v>3135777.11</v>
      </c>
      <c r="M15" s="62">
        <f>3258072.41</f>
        <v>3258072.41</v>
      </c>
      <c r="N15" s="62">
        <f>3385137.24</f>
        <v>3385137.24</v>
      </c>
      <c r="O15" s="62">
        <f>3517157.59</f>
        <v>3517157.59</v>
      </c>
      <c r="P15" s="62">
        <f>3654326.74</f>
        <v>3654326.74</v>
      </c>
      <c r="Q15" s="62">
        <f>3796845.48</f>
        <v>3796845.48</v>
      </c>
      <c r="R15" s="62">
        <f>0</f>
        <v>0</v>
      </c>
      <c r="S15" s="62">
        <f>0</f>
        <v>0</v>
      </c>
      <c r="T15" s="62">
        <f>0</f>
        <v>0</v>
      </c>
      <c r="U15" s="62">
        <f>0</f>
        <v>0</v>
      </c>
      <c r="V15" s="62">
        <f>0</f>
        <v>0</v>
      </c>
      <c r="W15" s="62">
        <f>0</f>
        <v>0</v>
      </c>
      <c r="X15" s="62">
        <f>0</f>
        <v>0</v>
      </c>
      <c r="Y15" s="62">
        <f>0</f>
        <v>0</v>
      </c>
      <c r="Z15" s="62">
        <f>0</f>
        <v>0</v>
      </c>
      <c r="AA15" s="62">
        <f>0</f>
        <v>0</v>
      </c>
      <c r="AB15" s="62">
        <f>0</f>
        <v>0</v>
      </c>
      <c r="AC15" s="62">
        <f>0</f>
        <v>0</v>
      </c>
      <c r="AD15" s="62">
        <f>0</f>
        <v>0</v>
      </c>
      <c r="AE15" s="62">
        <f>0</f>
        <v>0</v>
      </c>
      <c r="AF15" s="62">
        <f>0</f>
        <v>0</v>
      </c>
      <c r="AG15" s="62">
        <f>0</f>
        <v>0</v>
      </c>
      <c r="AH15" s="62">
        <f>0</f>
        <v>0</v>
      </c>
      <c r="AI15" s="62">
        <f>0</f>
        <v>0</v>
      </c>
      <c r="AJ15" s="62">
        <f>0</f>
        <v>0</v>
      </c>
      <c r="AK15" s="62">
        <f>0</f>
        <v>0</v>
      </c>
      <c r="AL15" s="62">
        <f>0</f>
        <v>0</v>
      </c>
      <c r="AM15" s="63">
        <f>0</f>
        <v>0</v>
      </c>
    </row>
    <row r="16" spans="1:39" ht="15" customHeight="1" outlineLevel="2">
      <c r="A16" s="52" t="s">
        <v>56</v>
      </c>
      <c r="B16" s="39"/>
      <c r="C16" s="40"/>
      <c r="D16" s="623" t="s">
        <v>222</v>
      </c>
      <c r="E16" s="623"/>
      <c r="F16" s="105">
        <f>5018941</f>
        <v>5018941</v>
      </c>
      <c r="G16" s="59">
        <f>5051066</f>
        <v>5051066</v>
      </c>
      <c r="H16" s="59">
        <f>5672702</f>
        <v>5672702</v>
      </c>
      <c r="I16" s="60">
        <f>5761394</f>
        <v>5761394</v>
      </c>
      <c r="J16" s="61">
        <f>5830045</f>
        <v>5830045</v>
      </c>
      <c r="K16" s="62">
        <f>6020263.15</f>
        <v>6020263.15</v>
      </c>
      <c r="L16" s="62">
        <f>6224952.1</f>
        <v>6224952.1</v>
      </c>
      <c r="M16" s="62">
        <f>6467725.23</f>
        <v>6467725.23</v>
      </c>
      <c r="N16" s="62">
        <f>6719966.52</f>
        <v>6719966.52</v>
      </c>
      <c r="O16" s="62">
        <f>6982045.21</f>
        <v>6982045.21</v>
      </c>
      <c r="P16" s="62">
        <f>7254344.97</f>
        <v>7254344.97</v>
      </c>
      <c r="Q16" s="62">
        <f>7537264.43</f>
        <v>7537264.43</v>
      </c>
      <c r="R16" s="62">
        <f>0</f>
        <v>0</v>
      </c>
      <c r="S16" s="62">
        <f>0</f>
        <v>0</v>
      </c>
      <c r="T16" s="62">
        <f>0</f>
        <v>0</v>
      </c>
      <c r="U16" s="62">
        <f>0</f>
        <v>0</v>
      </c>
      <c r="V16" s="62">
        <f>0</f>
        <v>0</v>
      </c>
      <c r="W16" s="62">
        <f>0</f>
        <v>0</v>
      </c>
      <c r="X16" s="62">
        <f>0</f>
        <v>0</v>
      </c>
      <c r="Y16" s="62">
        <f>0</f>
        <v>0</v>
      </c>
      <c r="Z16" s="62">
        <f>0</f>
        <v>0</v>
      </c>
      <c r="AA16" s="62">
        <f>0</f>
        <v>0</v>
      </c>
      <c r="AB16" s="62">
        <f>0</f>
        <v>0</v>
      </c>
      <c r="AC16" s="62">
        <f>0</f>
        <v>0</v>
      </c>
      <c r="AD16" s="62">
        <f>0</f>
        <v>0</v>
      </c>
      <c r="AE16" s="62">
        <f>0</f>
        <v>0</v>
      </c>
      <c r="AF16" s="62">
        <f>0</f>
        <v>0</v>
      </c>
      <c r="AG16" s="62">
        <f>0</f>
        <v>0</v>
      </c>
      <c r="AH16" s="62">
        <f>0</f>
        <v>0</v>
      </c>
      <c r="AI16" s="62">
        <f>0</f>
        <v>0</v>
      </c>
      <c r="AJ16" s="62">
        <f>0</f>
        <v>0</v>
      </c>
      <c r="AK16" s="62">
        <f>0</f>
        <v>0</v>
      </c>
      <c r="AL16" s="62">
        <f>0</f>
        <v>0</v>
      </c>
      <c r="AM16" s="63">
        <f>0</f>
        <v>0</v>
      </c>
    </row>
    <row r="17" spans="1:39" ht="15" customHeight="1" outlineLevel="2">
      <c r="A17" s="52" t="s">
        <v>58</v>
      </c>
      <c r="B17" s="39"/>
      <c r="C17" s="40"/>
      <c r="D17" s="623" t="s">
        <v>223</v>
      </c>
      <c r="E17" s="623"/>
      <c r="F17" s="105">
        <f>2496222.69</f>
        <v>2496222.69</v>
      </c>
      <c r="G17" s="59">
        <f>2345365.64</f>
        <v>2345365.64</v>
      </c>
      <c r="H17" s="59">
        <f>2463465.4</f>
        <v>2463465.4</v>
      </c>
      <c r="I17" s="60">
        <f>2343158.4</f>
        <v>2343158.4</v>
      </c>
      <c r="J17" s="61">
        <f>2947193.12</f>
        <v>2947193.12</v>
      </c>
      <c r="K17" s="62">
        <f>2558334.02</f>
        <v>2558334.02</v>
      </c>
      <c r="L17" s="62">
        <f>2554806.76</f>
        <v>2554806.76</v>
      </c>
      <c r="M17" s="62">
        <f>2489004.75</f>
        <v>2489004.75</v>
      </c>
      <c r="N17" s="62">
        <f>2586075.93</f>
        <v>2586075.93</v>
      </c>
      <c r="O17" s="62">
        <f>2686932.9</f>
        <v>2686932.9</v>
      </c>
      <c r="P17" s="62">
        <f>2791723.28</f>
        <v>2791723.28</v>
      </c>
      <c r="Q17" s="62">
        <f>2900600.49</f>
        <v>2900600.49</v>
      </c>
      <c r="R17" s="62">
        <f>0</f>
        <v>0</v>
      </c>
      <c r="S17" s="62">
        <f>0</f>
        <v>0</v>
      </c>
      <c r="T17" s="62">
        <f>0</f>
        <v>0</v>
      </c>
      <c r="U17" s="62">
        <f>0</f>
        <v>0</v>
      </c>
      <c r="V17" s="62">
        <f>0</f>
        <v>0</v>
      </c>
      <c r="W17" s="62">
        <f>0</f>
        <v>0</v>
      </c>
      <c r="X17" s="62">
        <f>0</f>
        <v>0</v>
      </c>
      <c r="Y17" s="62">
        <f>0</f>
        <v>0</v>
      </c>
      <c r="Z17" s="62">
        <f>0</f>
        <v>0</v>
      </c>
      <c r="AA17" s="62">
        <f>0</f>
        <v>0</v>
      </c>
      <c r="AB17" s="62">
        <f>0</f>
        <v>0</v>
      </c>
      <c r="AC17" s="62">
        <f>0</f>
        <v>0</v>
      </c>
      <c r="AD17" s="62">
        <f>0</f>
        <v>0</v>
      </c>
      <c r="AE17" s="62">
        <f>0</f>
        <v>0</v>
      </c>
      <c r="AF17" s="62">
        <f>0</f>
        <v>0</v>
      </c>
      <c r="AG17" s="62">
        <f>0</f>
        <v>0</v>
      </c>
      <c r="AH17" s="62">
        <f>0</f>
        <v>0</v>
      </c>
      <c r="AI17" s="62">
        <f>0</f>
        <v>0</v>
      </c>
      <c r="AJ17" s="62">
        <f>0</f>
        <v>0</v>
      </c>
      <c r="AK17" s="62">
        <f>0</f>
        <v>0</v>
      </c>
      <c r="AL17" s="62">
        <f>0</f>
        <v>0</v>
      </c>
      <c r="AM17" s="63">
        <f>0</f>
        <v>0</v>
      </c>
    </row>
    <row r="18" spans="1:39" ht="15" customHeight="1" outlineLevel="2">
      <c r="A18" s="52" t="s">
        <v>169</v>
      </c>
      <c r="B18" s="39"/>
      <c r="C18" s="623" t="s">
        <v>29</v>
      </c>
      <c r="D18" s="623"/>
      <c r="E18" s="623"/>
      <c r="F18" s="105">
        <f>1002027.82</f>
        <v>1002027.82</v>
      </c>
      <c r="G18" s="59">
        <f>171805.02</f>
        <v>171805.02</v>
      </c>
      <c r="H18" s="59">
        <f>566774</f>
        <v>566774</v>
      </c>
      <c r="I18" s="60">
        <f>446255</f>
        <v>446255</v>
      </c>
      <c r="J18" s="61">
        <f>258000</f>
        <v>258000</v>
      </c>
      <c r="K18" s="62">
        <f>30000</f>
        <v>30000</v>
      </c>
      <c r="L18" s="62">
        <f>30000</f>
        <v>30000</v>
      </c>
      <c r="M18" s="62">
        <f>20000</f>
        <v>20000</v>
      </c>
      <c r="N18" s="62">
        <f>0</f>
        <v>0</v>
      </c>
      <c r="O18" s="62">
        <f>0</f>
        <v>0</v>
      </c>
      <c r="P18" s="62">
        <f>0</f>
        <v>0</v>
      </c>
      <c r="Q18" s="62">
        <f>0</f>
        <v>0</v>
      </c>
      <c r="R18" s="62">
        <f>0</f>
        <v>0</v>
      </c>
      <c r="S18" s="62">
        <f>0</f>
        <v>0</v>
      </c>
      <c r="T18" s="62">
        <f>0</f>
        <v>0</v>
      </c>
      <c r="U18" s="62">
        <f>0</f>
        <v>0</v>
      </c>
      <c r="V18" s="62">
        <f>0</f>
        <v>0</v>
      </c>
      <c r="W18" s="62">
        <f>0</f>
        <v>0</v>
      </c>
      <c r="X18" s="62">
        <f>0</f>
        <v>0</v>
      </c>
      <c r="Y18" s="62">
        <f>0</f>
        <v>0</v>
      </c>
      <c r="Z18" s="62">
        <f>0</f>
        <v>0</v>
      </c>
      <c r="AA18" s="62">
        <f>0</f>
        <v>0</v>
      </c>
      <c r="AB18" s="62">
        <f>0</f>
        <v>0</v>
      </c>
      <c r="AC18" s="62">
        <f>0</f>
        <v>0</v>
      </c>
      <c r="AD18" s="62">
        <f>0</f>
        <v>0</v>
      </c>
      <c r="AE18" s="62">
        <f>0</f>
        <v>0</v>
      </c>
      <c r="AF18" s="62">
        <f>0</f>
        <v>0</v>
      </c>
      <c r="AG18" s="62">
        <f>0</f>
        <v>0</v>
      </c>
      <c r="AH18" s="62">
        <f>0</f>
        <v>0</v>
      </c>
      <c r="AI18" s="62">
        <f>0</f>
        <v>0</v>
      </c>
      <c r="AJ18" s="62">
        <f>0</f>
        <v>0</v>
      </c>
      <c r="AK18" s="62">
        <f>0</f>
        <v>0</v>
      </c>
      <c r="AL18" s="62">
        <f>0</f>
        <v>0</v>
      </c>
      <c r="AM18" s="63">
        <f>0</f>
        <v>0</v>
      </c>
    </row>
    <row r="19" spans="1:39" ht="15" customHeight="1" outlineLevel="2">
      <c r="A19" s="52" t="s">
        <v>61</v>
      </c>
      <c r="B19" s="39"/>
      <c r="C19" s="40"/>
      <c r="D19" s="623" t="s">
        <v>30</v>
      </c>
      <c r="E19" s="623"/>
      <c r="F19" s="105">
        <f>52388.02</f>
        <v>52388.02</v>
      </c>
      <c r="G19" s="59">
        <f>14482.02</f>
        <v>14482.02</v>
      </c>
      <c r="H19" s="59">
        <f>135000</f>
        <v>135000</v>
      </c>
      <c r="I19" s="60">
        <f>0</f>
        <v>0</v>
      </c>
      <c r="J19" s="61">
        <f>45000</f>
        <v>45000</v>
      </c>
      <c r="K19" s="62">
        <f>0</f>
        <v>0</v>
      </c>
      <c r="L19" s="62">
        <f>0</f>
        <v>0</v>
      </c>
      <c r="M19" s="62">
        <f>0</f>
        <v>0</v>
      </c>
      <c r="N19" s="62">
        <f>0</f>
        <v>0</v>
      </c>
      <c r="O19" s="62">
        <f>0</f>
        <v>0</v>
      </c>
      <c r="P19" s="62">
        <f>0</f>
        <v>0</v>
      </c>
      <c r="Q19" s="62">
        <f>0</f>
        <v>0</v>
      </c>
      <c r="R19" s="62">
        <f>0</f>
        <v>0</v>
      </c>
      <c r="S19" s="62">
        <f>0</f>
        <v>0</v>
      </c>
      <c r="T19" s="62">
        <f>0</f>
        <v>0</v>
      </c>
      <c r="U19" s="62">
        <f>0</f>
        <v>0</v>
      </c>
      <c r="V19" s="62">
        <f>0</f>
        <v>0</v>
      </c>
      <c r="W19" s="62">
        <f>0</f>
        <v>0</v>
      </c>
      <c r="X19" s="62">
        <f>0</f>
        <v>0</v>
      </c>
      <c r="Y19" s="62">
        <f>0</f>
        <v>0</v>
      </c>
      <c r="Z19" s="62">
        <f>0</f>
        <v>0</v>
      </c>
      <c r="AA19" s="62">
        <f>0</f>
        <v>0</v>
      </c>
      <c r="AB19" s="62">
        <f>0</f>
        <v>0</v>
      </c>
      <c r="AC19" s="62">
        <f>0</f>
        <v>0</v>
      </c>
      <c r="AD19" s="62">
        <f>0</f>
        <v>0</v>
      </c>
      <c r="AE19" s="62">
        <f>0</f>
        <v>0</v>
      </c>
      <c r="AF19" s="62">
        <f>0</f>
        <v>0</v>
      </c>
      <c r="AG19" s="62">
        <f>0</f>
        <v>0</v>
      </c>
      <c r="AH19" s="62">
        <f>0</f>
        <v>0</v>
      </c>
      <c r="AI19" s="62">
        <f>0</f>
        <v>0</v>
      </c>
      <c r="AJ19" s="62">
        <f>0</f>
        <v>0</v>
      </c>
      <c r="AK19" s="62">
        <f>0</f>
        <v>0</v>
      </c>
      <c r="AL19" s="62">
        <f>0</f>
        <v>0</v>
      </c>
      <c r="AM19" s="63">
        <f>0</f>
        <v>0</v>
      </c>
    </row>
    <row r="20" spans="1:39" ht="15" customHeight="1" outlineLevel="2">
      <c r="A20" s="52" t="s">
        <v>63</v>
      </c>
      <c r="B20" s="39"/>
      <c r="C20" s="40"/>
      <c r="D20" s="623" t="s">
        <v>225</v>
      </c>
      <c r="E20" s="623"/>
      <c r="F20" s="105">
        <f>949639.8</f>
        <v>949639.8</v>
      </c>
      <c r="G20" s="59">
        <f>157323</f>
        <v>157323</v>
      </c>
      <c r="H20" s="59">
        <f>431774</f>
        <v>431774</v>
      </c>
      <c r="I20" s="60">
        <f>446255</f>
        <v>446255</v>
      </c>
      <c r="J20" s="61">
        <f>213000</f>
        <v>213000</v>
      </c>
      <c r="K20" s="62">
        <f>0</f>
        <v>0</v>
      </c>
      <c r="L20" s="62">
        <f>0</f>
        <v>0</v>
      </c>
      <c r="M20" s="62">
        <f>0</f>
        <v>0</v>
      </c>
      <c r="N20" s="62">
        <f>0</f>
        <v>0</v>
      </c>
      <c r="O20" s="62">
        <f>0</f>
        <v>0</v>
      </c>
      <c r="P20" s="62">
        <f>0</f>
        <v>0</v>
      </c>
      <c r="Q20" s="62">
        <f>0</f>
        <v>0</v>
      </c>
      <c r="R20" s="62">
        <f>0</f>
        <v>0</v>
      </c>
      <c r="S20" s="62">
        <f>0</f>
        <v>0</v>
      </c>
      <c r="T20" s="62">
        <f>0</f>
        <v>0</v>
      </c>
      <c r="U20" s="62">
        <f>0</f>
        <v>0</v>
      </c>
      <c r="V20" s="62">
        <f>0</f>
        <v>0</v>
      </c>
      <c r="W20" s="62">
        <f>0</f>
        <v>0</v>
      </c>
      <c r="X20" s="62">
        <f>0</f>
        <v>0</v>
      </c>
      <c r="Y20" s="62">
        <f>0</f>
        <v>0</v>
      </c>
      <c r="Z20" s="62">
        <f>0</f>
        <v>0</v>
      </c>
      <c r="AA20" s="62">
        <f>0</f>
        <v>0</v>
      </c>
      <c r="AB20" s="62">
        <f>0</f>
        <v>0</v>
      </c>
      <c r="AC20" s="62">
        <f>0</f>
        <v>0</v>
      </c>
      <c r="AD20" s="62">
        <f>0</f>
        <v>0</v>
      </c>
      <c r="AE20" s="62">
        <f>0</f>
        <v>0</v>
      </c>
      <c r="AF20" s="62">
        <f>0</f>
        <v>0</v>
      </c>
      <c r="AG20" s="62">
        <f>0</f>
        <v>0</v>
      </c>
      <c r="AH20" s="62">
        <f>0</f>
        <v>0</v>
      </c>
      <c r="AI20" s="62">
        <f>0</f>
        <v>0</v>
      </c>
      <c r="AJ20" s="62">
        <f>0</f>
        <v>0</v>
      </c>
      <c r="AK20" s="62">
        <f>0</f>
        <v>0</v>
      </c>
      <c r="AL20" s="62">
        <f>0</f>
        <v>0</v>
      </c>
      <c r="AM20" s="63">
        <f>0</f>
        <v>0</v>
      </c>
    </row>
    <row r="21" spans="1:40" ht="15" customHeight="1" outlineLevel="1">
      <c r="A21" s="51">
        <v>2</v>
      </c>
      <c r="B21" s="625" t="s">
        <v>21</v>
      </c>
      <c r="C21" s="626"/>
      <c r="D21" s="626"/>
      <c r="E21" s="626"/>
      <c r="F21" s="104">
        <f>18629353.13</f>
        <v>18629353.13</v>
      </c>
      <c r="G21" s="54">
        <f>17272723.47</f>
        <v>17272723.47</v>
      </c>
      <c r="H21" s="54">
        <f>20320503.4</f>
        <v>20320503.4</v>
      </c>
      <c r="I21" s="55">
        <f>18374916.42</f>
        <v>18374916.42</v>
      </c>
      <c r="J21" s="56">
        <f>22293445.6</f>
        <v>22293445.6</v>
      </c>
      <c r="K21" s="57">
        <f>20771928.99</f>
        <v>20771928.99</v>
      </c>
      <c r="L21" s="57">
        <f>20774990.4</f>
        <v>20774990.4</v>
      </c>
      <c r="M21" s="57">
        <f>21216819.55</f>
        <v>21216819.55</v>
      </c>
      <c r="N21" s="57">
        <f>21964445.51</f>
        <v>21964445.51</v>
      </c>
      <c r="O21" s="57">
        <f>22891987.89</f>
        <v>22891987.89</v>
      </c>
      <c r="P21" s="57">
        <f>23952529.34</f>
        <v>23952529.34</v>
      </c>
      <c r="Q21" s="57">
        <f>25676181.52</f>
        <v>25676181.52</v>
      </c>
      <c r="R21" s="57">
        <f>0</f>
        <v>0</v>
      </c>
      <c r="S21" s="57">
        <f>0</f>
        <v>0</v>
      </c>
      <c r="T21" s="57">
        <f>0</f>
        <v>0</v>
      </c>
      <c r="U21" s="57">
        <f>0</f>
        <v>0</v>
      </c>
      <c r="V21" s="57">
        <f>0</f>
        <v>0</v>
      </c>
      <c r="W21" s="57">
        <f>0</f>
        <v>0</v>
      </c>
      <c r="X21" s="57">
        <f>0</f>
        <v>0</v>
      </c>
      <c r="Y21" s="57">
        <f>0</f>
        <v>0</v>
      </c>
      <c r="Z21" s="57">
        <f>0</f>
        <v>0</v>
      </c>
      <c r="AA21" s="57">
        <f>0</f>
        <v>0</v>
      </c>
      <c r="AB21" s="57">
        <f>0</f>
        <v>0</v>
      </c>
      <c r="AC21" s="57">
        <f>0</f>
        <v>0</v>
      </c>
      <c r="AD21" s="57">
        <f>0</f>
        <v>0</v>
      </c>
      <c r="AE21" s="57">
        <f>0</f>
        <v>0</v>
      </c>
      <c r="AF21" s="57">
        <f>0</f>
        <v>0</v>
      </c>
      <c r="AG21" s="57">
        <f>0</f>
        <v>0</v>
      </c>
      <c r="AH21" s="57">
        <f>0</f>
        <v>0</v>
      </c>
      <c r="AI21" s="57">
        <f>0</f>
        <v>0</v>
      </c>
      <c r="AJ21" s="57">
        <f>0</f>
        <v>0</v>
      </c>
      <c r="AK21" s="57">
        <f>0</f>
        <v>0</v>
      </c>
      <c r="AL21" s="57">
        <f>0</f>
        <v>0</v>
      </c>
      <c r="AM21" s="58">
        <f>0</f>
        <v>0</v>
      </c>
      <c r="AN21" s="46"/>
    </row>
    <row r="22" spans="1:39" ht="15" customHeight="1" outlineLevel="2">
      <c r="A22" s="52" t="s">
        <v>170</v>
      </c>
      <c r="B22" s="39"/>
      <c r="C22" s="623" t="s">
        <v>226</v>
      </c>
      <c r="D22" s="623"/>
      <c r="E22" s="623"/>
      <c r="F22" s="105">
        <f>15346594.47</f>
        <v>15346594.47</v>
      </c>
      <c r="G22" s="59">
        <f>15872280.15</f>
        <v>15872280.15</v>
      </c>
      <c r="H22" s="59">
        <f>18580553.4</f>
        <v>18580553.4</v>
      </c>
      <c r="I22" s="60">
        <f>17217700.41</f>
        <v>17217700.41</v>
      </c>
      <c r="J22" s="61">
        <f>19789445.6</f>
        <v>19789445.6</v>
      </c>
      <c r="K22" s="62">
        <f>19411928.99</f>
        <v>19411928.99</v>
      </c>
      <c r="L22" s="62">
        <f>19495475.14</f>
        <v>19495475.14</v>
      </c>
      <c r="M22" s="62">
        <f>20078095.44</f>
        <v>20078095.44</v>
      </c>
      <c r="N22" s="62">
        <f>20840419.26</f>
        <v>20840419.26</v>
      </c>
      <c r="O22" s="62">
        <f>21634436.03</f>
        <v>21634436.03</v>
      </c>
      <c r="P22" s="62">
        <f>22411413.47</f>
        <v>22411413.47</v>
      </c>
      <c r="Q22" s="62">
        <f>23292670.01</f>
        <v>23292670.01</v>
      </c>
      <c r="R22" s="62">
        <f>0</f>
        <v>0</v>
      </c>
      <c r="S22" s="62">
        <f>0</f>
        <v>0</v>
      </c>
      <c r="T22" s="62">
        <f>0</f>
        <v>0</v>
      </c>
      <c r="U22" s="62">
        <f>0</f>
        <v>0</v>
      </c>
      <c r="V22" s="62">
        <f>0</f>
        <v>0</v>
      </c>
      <c r="W22" s="62">
        <f>0</f>
        <v>0</v>
      </c>
      <c r="X22" s="62">
        <f>0</f>
        <v>0</v>
      </c>
      <c r="Y22" s="62">
        <f>0</f>
        <v>0</v>
      </c>
      <c r="Z22" s="62">
        <f>0</f>
        <v>0</v>
      </c>
      <c r="AA22" s="62">
        <f>0</f>
        <v>0</v>
      </c>
      <c r="AB22" s="62">
        <f>0</f>
        <v>0</v>
      </c>
      <c r="AC22" s="62">
        <f>0</f>
        <v>0</v>
      </c>
      <c r="AD22" s="62">
        <f>0</f>
        <v>0</v>
      </c>
      <c r="AE22" s="62">
        <f>0</f>
        <v>0</v>
      </c>
      <c r="AF22" s="62">
        <f>0</f>
        <v>0</v>
      </c>
      <c r="AG22" s="62">
        <f>0</f>
        <v>0</v>
      </c>
      <c r="AH22" s="62">
        <f>0</f>
        <v>0</v>
      </c>
      <c r="AI22" s="62">
        <f>0</f>
        <v>0</v>
      </c>
      <c r="AJ22" s="62">
        <f>0</f>
        <v>0</v>
      </c>
      <c r="AK22" s="62">
        <f>0</f>
        <v>0</v>
      </c>
      <c r="AL22" s="62">
        <f>0</f>
        <v>0</v>
      </c>
      <c r="AM22" s="63">
        <f>0</f>
        <v>0</v>
      </c>
    </row>
    <row r="23" spans="1:39" ht="15" customHeight="1" outlineLevel="2">
      <c r="A23" s="52" t="s">
        <v>66</v>
      </c>
      <c r="B23" s="39"/>
      <c r="C23" s="40"/>
      <c r="D23" s="623" t="s">
        <v>229</v>
      </c>
      <c r="E23" s="623"/>
      <c r="F23" s="105">
        <f>0</f>
        <v>0</v>
      </c>
      <c r="G23" s="59">
        <f>0</f>
        <v>0</v>
      </c>
      <c r="H23" s="59">
        <f>0</f>
        <v>0</v>
      </c>
      <c r="I23" s="60">
        <f>0</f>
        <v>0</v>
      </c>
      <c r="J23" s="61">
        <f>0</f>
        <v>0</v>
      </c>
      <c r="K23" s="62">
        <f>0</f>
        <v>0</v>
      </c>
      <c r="L23" s="62">
        <f>0</f>
        <v>0</v>
      </c>
      <c r="M23" s="62">
        <f>0</f>
        <v>0</v>
      </c>
      <c r="N23" s="62">
        <f>0</f>
        <v>0</v>
      </c>
      <c r="O23" s="62">
        <f>0</f>
        <v>0</v>
      </c>
      <c r="P23" s="62">
        <f>0</f>
        <v>0</v>
      </c>
      <c r="Q23" s="62">
        <f>0</f>
        <v>0</v>
      </c>
      <c r="R23" s="62">
        <f>0</f>
        <v>0</v>
      </c>
      <c r="S23" s="62">
        <f>0</f>
        <v>0</v>
      </c>
      <c r="T23" s="62">
        <f>0</f>
        <v>0</v>
      </c>
      <c r="U23" s="62">
        <f>0</f>
        <v>0</v>
      </c>
      <c r="V23" s="62">
        <f>0</f>
        <v>0</v>
      </c>
      <c r="W23" s="62">
        <f>0</f>
        <v>0</v>
      </c>
      <c r="X23" s="62">
        <f>0</f>
        <v>0</v>
      </c>
      <c r="Y23" s="62">
        <f>0</f>
        <v>0</v>
      </c>
      <c r="Z23" s="62">
        <f>0</f>
        <v>0</v>
      </c>
      <c r="AA23" s="62">
        <f>0</f>
        <v>0</v>
      </c>
      <c r="AB23" s="62">
        <f>0</f>
        <v>0</v>
      </c>
      <c r="AC23" s="62">
        <f>0</f>
        <v>0</v>
      </c>
      <c r="AD23" s="62">
        <f>0</f>
        <v>0</v>
      </c>
      <c r="AE23" s="62">
        <f>0</f>
        <v>0</v>
      </c>
      <c r="AF23" s="62">
        <f>0</f>
        <v>0</v>
      </c>
      <c r="AG23" s="62">
        <f>0</f>
        <v>0</v>
      </c>
      <c r="AH23" s="62">
        <f>0</f>
        <v>0</v>
      </c>
      <c r="AI23" s="62">
        <f>0</f>
        <v>0</v>
      </c>
      <c r="AJ23" s="62">
        <f>0</f>
        <v>0</v>
      </c>
      <c r="AK23" s="62">
        <f>0</f>
        <v>0</v>
      </c>
      <c r="AL23" s="62">
        <f>0</f>
        <v>0</v>
      </c>
      <c r="AM23" s="63">
        <f>0</f>
        <v>0</v>
      </c>
    </row>
    <row r="24" spans="1:39" ht="48" customHeight="1" outlineLevel="2">
      <c r="A24" s="52" t="s">
        <v>68</v>
      </c>
      <c r="B24" s="39"/>
      <c r="C24" s="40"/>
      <c r="D24" s="40"/>
      <c r="E24" s="47" t="s">
        <v>228</v>
      </c>
      <c r="F24" s="105">
        <f>0</f>
        <v>0</v>
      </c>
      <c r="G24" s="59">
        <f>0</f>
        <v>0</v>
      </c>
      <c r="H24" s="59">
        <f>0</f>
        <v>0</v>
      </c>
      <c r="I24" s="60">
        <f>0</f>
        <v>0</v>
      </c>
      <c r="J24" s="61">
        <f>0</f>
        <v>0</v>
      </c>
      <c r="K24" s="62">
        <f>0</f>
        <v>0</v>
      </c>
      <c r="L24" s="62">
        <f>0</f>
        <v>0</v>
      </c>
      <c r="M24" s="62">
        <f>0</f>
        <v>0</v>
      </c>
      <c r="N24" s="62">
        <f>0</f>
        <v>0</v>
      </c>
      <c r="O24" s="62">
        <f>0</f>
        <v>0</v>
      </c>
      <c r="P24" s="62">
        <f>0</f>
        <v>0</v>
      </c>
      <c r="Q24" s="62">
        <f>0</f>
        <v>0</v>
      </c>
      <c r="R24" s="62">
        <f>0</f>
        <v>0</v>
      </c>
      <c r="S24" s="62">
        <f>0</f>
        <v>0</v>
      </c>
      <c r="T24" s="62">
        <f>0</f>
        <v>0</v>
      </c>
      <c r="U24" s="62">
        <f>0</f>
        <v>0</v>
      </c>
      <c r="V24" s="62">
        <f>0</f>
        <v>0</v>
      </c>
      <c r="W24" s="62">
        <f>0</f>
        <v>0</v>
      </c>
      <c r="X24" s="62">
        <f>0</f>
        <v>0</v>
      </c>
      <c r="Y24" s="62">
        <f>0</f>
        <v>0</v>
      </c>
      <c r="Z24" s="62">
        <f>0</f>
        <v>0</v>
      </c>
      <c r="AA24" s="62">
        <f>0</f>
        <v>0</v>
      </c>
      <c r="AB24" s="62">
        <f>0</f>
        <v>0</v>
      </c>
      <c r="AC24" s="62">
        <f>0</f>
        <v>0</v>
      </c>
      <c r="AD24" s="62">
        <f>0</f>
        <v>0</v>
      </c>
      <c r="AE24" s="62">
        <f>0</f>
        <v>0</v>
      </c>
      <c r="AF24" s="62">
        <f>0</f>
        <v>0</v>
      </c>
      <c r="AG24" s="62">
        <f>0</f>
        <v>0</v>
      </c>
      <c r="AH24" s="62">
        <f>0</f>
        <v>0</v>
      </c>
      <c r="AI24" s="62">
        <f>0</f>
        <v>0</v>
      </c>
      <c r="AJ24" s="62">
        <f>0</f>
        <v>0</v>
      </c>
      <c r="AK24" s="62">
        <f>0</f>
        <v>0</v>
      </c>
      <c r="AL24" s="62">
        <f>0</f>
        <v>0</v>
      </c>
      <c r="AM24" s="63">
        <f>0</f>
        <v>0</v>
      </c>
    </row>
    <row r="25" spans="1:39" ht="39" customHeight="1" outlineLevel="2">
      <c r="A25" s="52" t="s">
        <v>70</v>
      </c>
      <c r="B25" s="39"/>
      <c r="C25" s="40"/>
      <c r="D25" s="623" t="s">
        <v>227</v>
      </c>
      <c r="E25" s="623"/>
      <c r="F25" s="106" t="s">
        <v>31</v>
      </c>
      <c r="G25" s="64" t="s">
        <v>31</v>
      </c>
      <c r="H25" s="64" t="s">
        <v>31</v>
      </c>
      <c r="I25" s="65" t="s">
        <v>31</v>
      </c>
      <c r="J25" s="61">
        <f>0</f>
        <v>0</v>
      </c>
      <c r="K25" s="62">
        <f>0</f>
        <v>0</v>
      </c>
      <c r="L25" s="62">
        <f>0</f>
        <v>0</v>
      </c>
      <c r="M25" s="62">
        <f>0</f>
        <v>0</v>
      </c>
      <c r="N25" s="62">
        <f>0</f>
        <v>0</v>
      </c>
      <c r="O25" s="62">
        <f>0</f>
        <v>0</v>
      </c>
      <c r="P25" s="62">
        <f>0</f>
        <v>0</v>
      </c>
      <c r="Q25" s="62">
        <f>0</f>
        <v>0</v>
      </c>
      <c r="R25" s="62">
        <f>0</f>
        <v>0</v>
      </c>
      <c r="S25" s="62">
        <f>0</f>
        <v>0</v>
      </c>
      <c r="T25" s="62">
        <f>0</f>
        <v>0</v>
      </c>
      <c r="U25" s="62">
        <f>0</f>
        <v>0</v>
      </c>
      <c r="V25" s="62">
        <f>0</f>
        <v>0</v>
      </c>
      <c r="W25" s="62">
        <f>0</f>
        <v>0</v>
      </c>
      <c r="X25" s="62">
        <f>0</f>
        <v>0</v>
      </c>
      <c r="Y25" s="62">
        <f>0</f>
        <v>0</v>
      </c>
      <c r="Z25" s="62">
        <f>0</f>
        <v>0</v>
      </c>
      <c r="AA25" s="62">
        <f>0</f>
        <v>0</v>
      </c>
      <c r="AB25" s="62">
        <f>0</f>
        <v>0</v>
      </c>
      <c r="AC25" s="62">
        <f>0</f>
        <v>0</v>
      </c>
      <c r="AD25" s="62">
        <f>0</f>
        <v>0</v>
      </c>
      <c r="AE25" s="62">
        <f>0</f>
        <v>0</v>
      </c>
      <c r="AF25" s="62">
        <f>0</f>
        <v>0</v>
      </c>
      <c r="AG25" s="62">
        <f>0</f>
        <v>0</v>
      </c>
      <c r="AH25" s="62">
        <f>0</f>
        <v>0</v>
      </c>
      <c r="AI25" s="62">
        <f>0</f>
        <v>0</v>
      </c>
      <c r="AJ25" s="62">
        <f>0</f>
        <v>0</v>
      </c>
      <c r="AK25" s="62">
        <f>0</f>
        <v>0</v>
      </c>
      <c r="AL25" s="62">
        <f>0</f>
        <v>0</v>
      </c>
      <c r="AM25" s="63">
        <f>0</f>
        <v>0</v>
      </c>
    </row>
    <row r="26" spans="1:39" ht="15" customHeight="1" outlineLevel="2">
      <c r="A26" s="52" t="s">
        <v>72</v>
      </c>
      <c r="B26" s="39"/>
      <c r="C26" s="40"/>
      <c r="D26" s="623" t="s">
        <v>230</v>
      </c>
      <c r="E26" s="623"/>
      <c r="F26" s="105">
        <f>244338.5</f>
        <v>244338.5</v>
      </c>
      <c r="G26" s="59">
        <f>353126.69</f>
        <v>353126.69</v>
      </c>
      <c r="H26" s="59">
        <f>400000</f>
        <v>400000</v>
      </c>
      <c r="I26" s="60">
        <f>372355.15</f>
        <v>372355.15</v>
      </c>
      <c r="J26" s="61">
        <f>400000</f>
        <v>400000</v>
      </c>
      <c r="K26" s="62">
        <f>350000</f>
        <v>350000</v>
      </c>
      <c r="L26" s="62">
        <f>290000</f>
        <v>290000</v>
      </c>
      <c r="M26" s="62">
        <f>270000</f>
        <v>270000</v>
      </c>
      <c r="N26" s="62">
        <f>240000</f>
        <v>240000</v>
      </c>
      <c r="O26" s="62">
        <f>210000</f>
        <v>210000</v>
      </c>
      <c r="P26" s="62">
        <f>130000</f>
        <v>130000</v>
      </c>
      <c r="Q26" s="62">
        <f>120000</f>
        <v>120000</v>
      </c>
      <c r="R26" s="62">
        <f>0</f>
        <v>0</v>
      </c>
      <c r="S26" s="62">
        <f>0</f>
        <v>0</v>
      </c>
      <c r="T26" s="62">
        <f>0</f>
        <v>0</v>
      </c>
      <c r="U26" s="62">
        <f>0</f>
        <v>0</v>
      </c>
      <c r="V26" s="62">
        <f>0</f>
        <v>0</v>
      </c>
      <c r="W26" s="62">
        <f>0</f>
        <v>0</v>
      </c>
      <c r="X26" s="62">
        <f>0</f>
        <v>0</v>
      </c>
      <c r="Y26" s="62">
        <f>0</f>
        <v>0</v>
      </c>
      <c r="Z26" s="62">
        <f>0</f>
        <v>0</v>
      </c>
      <c r="AA26" s="62">
        <f>0</f>
        <v>0</v>
      </c>
      <c r="AB26" s="62">
        <f>0</f>
        <v>0</v>
      </c>
      <c r="AC26" s="62">
        <f>0</f>
        <v>0</v>
      </c>
      <c r="AD26" s="62">
        <f>0</f>
        <v>0</v>
      </c>
      <c r="AE26" s="62">
        <f>0</f>
        <v>0</v>
      </c>
      <c r="AF26" s="62">
        <f>0</f>
        <v>0</v>
      </c>
      <c r="AG26" s="62">
        <f>0</f>
        <v>0</v>
      </c>
      <c r="AH26" s="62">
        <f>0</f>
        <v>0</v>
      </c>
      <c r="AI26" s="62">
        <f>0</f>
        <v>0</v>
      </c>
      <c r="AJ26" s="62">
        <f>0</f>
        <v>0</v>
      </c>
      <c r="AK26" s="62">
        <f>0</f>
        <v>0</v>
      </c>
      <c r="AL26" s="62">
        <f>0</f>
        <v>0</v>
      </c>
      <c r="AM26" s="63">
        <f>0</f>
        <v>0</v>
      </c>
    </row>
    <row r="27" spans="1:39" ht="15" customHeight="1" outlineLevel="2">
      <c r="A27" s="52" t="s">
        <v>74</v>
      </c>
      <c r="B27" s="39"/>
      <c r="C27" s="40"/>
      <c r="D27" s="40"/>
      <c r="E27" s="47" t="s">
        <v>231</v>
      </c>
      <c r="F27" s="105">
        <f>244338.5</f>
        <v>244338.5</v>
      </c>
      <c r="G27" s="59">
        <f>353126.69</f>
        <v>353126.69</v>
      </c>
      <c r="H27" s="59">
        <f>400000</f>
        <v>400000</v>
      </c>
      <c r="I27" s="60">
        <f>372355.15</f>
        <v>372355.15</v>
      </c>
      <c r="J27" s="61">
        <f>400000</f>
        <v>400000</v>
      </c>
      <c r="K27" s="62">
        <f>350000</f>
        <v>350000</v>
      </c>
      <c r="L27" s="62">
        <f>290000</f>
        <v>290000</v>
      </c>
      <c r="M27" s="62">
        <f>270000</f>
        <v>270000</v>
      </c>
      <c r="N27" s="62">
        <f>240000</f>
        <v>240000</v>
      </c>
      <c r="O27" s="62">
        <f>210000</f>
        <v>210000</v>
      </c>
      <c r="P27" s="62">
        <f>130000</f>
        <v>130000</v>
      </c>
      <c r="Q27" s="62">
        <f>120000</f>
        <v>120000</v>
      </c>
      <c r="R27" s="62">
        <f>0</f>
        <v>0</v>
      </c>
      <c r="S27" s="62">
        <f>0</f>
        <v>0</v>
      </c>
      <c r="T27" s="62">
        <f>0</f>
        <v>0</v>
      </c>
      <c r="U27" s="62">
        <f>0</f>
        <v>0</v>
      </c>
      <c r="V27" s="62">
        <f>0</f>
        <v>0</v>
      </c>
      <c r="W27" s="62">
        <f>0</f>
        <v>0</v>
      </c>
      <c r="X27" s="62">
        <f>0</f>
        <v>0</v>
      </c>
      <c r="Y27" s="62">
        <f>0</f>
        <v>0</v>
      </c>
      <c r="Z27" s="62">
        <f>0</f>
        <v>0</v>
      </c>
      <c r="AA27" s="62">
        <f>0</f>
        <v>0</v>
      </c>
      <c r="AB27" s="62">
        <f>0</f>
        <v>0</v>
      </c>
      <c r="AC27" s="62">
        <f>0</f>
        <v>0</v>
      </c>
      <c r="AD27" s="62">
        <f>0</f>
        <v>0</v>
      </c>
      <c r="AE27" s="62">
        <f>0</f>
        <v>0</v>
      </c>
      <c r="AF27" s="62">
        <f>0</f>
        <v>0</v>
      </c>
      <c r="AG27" s="62">
        <f>0</f>
        <v>0</v>
      </c>
      <c r="AH27" s="62">
        <f>0</f>
        <v>0</v>
      </c>
      <c r="AI27" s="62">
        <f>0</f>
        <v>0</v>
      </c>
      <c r="AJ27" s="62">
        <f>0</f>
        <v>0</v>
      </c>
      <c r="AK27" s="62">
        <f>0</f>
        <v>0</v>
      </c>
      <c r="AL27" s="62">
        <f>0</f>
        <v>0</v>
      </c>
      <c r="AM27" s="63">
        <f>0</f>
        <v>0</v>
      </c>
    </row>
    <row r="28" spans="1:39" ht="15" customHeight="1" outlineLevel="2">
      <c r="A28" s="52" t="s">
        <v>171</v>
      </c>
      <c r="B28" s="39"/>
      <c r="C28" s="623" t="s">
        <v>22</v>
      </c>
      <c r="D28" s="623"/>
      <c r="E28" s="623"/>
      <c r="F28" s="105">
        <f>3282758.66</f>
        <v>3282758.66</v>
      </c>
      <c r="G28" s="59">
        <f>1400443.32</f>
        <v>1400443.32</v>
      </c>
      <c r="H28" s="59">
        <f>1739950</f>
        <v>1739950</v>
      </c>
      <c r="I28" s="60">
        <f>1157216.01</f>
        <v>1157216.01</v>
      </c>
      <c r="J28" s="61">
        <f>2504000</f>
        <v>2504000</v>
      </c>
      <c r="K28" s="62">
        <f>1360000</f>
        <v>1360000</v>
      </c>
      <c r="L28" s="62">
        <f>1279515.26</f>
        <v>1279515.26</v>
      </c>
      <c r="M28" s="62">
        <f>1138724.11</f>
        <v>1138724.11</v>
      </c>
      <c r="N28" s="62">
        <f>1124026.25</f>
        <v>1124026.25</v>
      </c>
      <c r="O28" s="62">
        <f>1257551.86</f>
        <v>1257551.86</v>
      </c>
      <c r="P28" s="62">
        <f>1541115.87</f>
        <v>1541115.87</v>
      </c>
      <c r="Q28" s="62">
        <f>2383511.51</f>
        <v>2383511.51</v>
      </c>
      <c r="R28" s="62">
        <f>0</f>
        <v>0</v>
      </c>
      <c r="S28" s="62">
        <f>0</f>
        <v>0</v>
      </c>
      <c r="T28" s="62">
        <f>0</f>
        <v>0</v>
      </c>
      <c r="U28" s="62">
        <f>0</f>
        <v>0</v>
      </c>
      <c r="V28" s="62">
        <f>0</f>
        <v>0</v>
      </c>
      <c r="W28" s="62">
        <f>0</f>
        <v>0</v>
      </c>
      <c r="X28" s="62">
        <f>0</f>
        <v>0</v>
      </c>
      <c r="Y28" s="62">
        <f>0</f>
        <v>0</v>
      </c>
      <c r="Z28" s="62">
        <f>0</f>
        <v>0</v>
      </c>
      <c r="AA28" s="62">
        <f>0</f>
        <v>0</v>
      </c>
      <c r="AB28" s="62">
        <f>0</f>
        <v>0</v>
      </c>
      <c r="AC28" s="62">
        <f>0</f>
        <v>0</v>
      </c>
      <c r="AD28" s="62">
        <f>0</f>
        <v>0</v>
      </c>
      <c r="AE28" s="62">
        <f>0</f>
        <v>0</v>
      </c>
      <c r="AF28" s="62">
        <f>0</f>
        <v>0</v>
      </c>
      <c r="AG28" s="62">
        <f>0</f>
        <v>0</v>
      </c>
      <c r="AH28" s="62">
        <f>0</f>
        <v>0</v>
      </c>
      <c r="AI28" s="62">
        <f>0</f>
        <v>0</v>
      </c>
      <c r="AJ28" s="62">
        <f>0</f>
        <v>0</v>
      </c>
      <c r="AK28" s="62">
        <f>0</f>
        <v>0</v>
      </c>
      <c r="AL28" s="62">
        <f>0</f>
        <v>0</v>
      </c>
      <c r="AM28" s="63">
        <f>0</f>
        <v>0</v>
      </c>
    </row>
    <row r="29" spans="1:40" ht="15" customHeight="1" outlineLevel="1">
      <c r="A29" s="51">
        <v>3</v>
      </c>
      <c r="B29" s="625" t="s">
        <v>23</v>
      </c>
      <c r="C29" s="626"/>
      <c r="D29" s="626"/>
      <c r="E29" s="626"/>
      <c r="F29" s="104">
        <f>-1244448.02</f>
        <v>-1244448.02</v>
      </c>
      <c r="G29" s="54">
        <f>369699.82</f>
        <v>369699.82</v>
      </c>
      <c r="H29" s="54">
        <f>-1102925</f>
        <v>-1102925</v>
      </c>
      <c r="I29" s="55">
        <f>1126438.2</f>
        <v>1126438.2</v>
      </c>
      <c r="J29" s="56">
        <f>-1288821</f>
        <v>-1288821</v>
      </c>
      <c r="K29" s="57">
        <f>207298.3</f>
        <v>207298.3</v>
      </c>
      <c r="L29" s="57">
        <f>826000</f>
        <v>826000</v>
      </c>
      <c r="M29" s="57">
        <f>1050000</f>
        <v>1050000</v>
      </c>
      <c r="N29" s="57">
        <f>1150000</f>
        <v>1150000</v>
      </c>
      <c r="O29" s="57">
        <f>1123921</f>
        <v>1123921</v>
      </c>
      <c r="P29" s="57">
        <f>1000000</f>
        <v>1000000</v>
      </c>
      <c r="Q29" s="57">
        <f>249496.46</f>
        <v>249496.46</v>
      </c>
      <c r="R29" s="57">
        <f>0</f>
        <v>0</v>
      </c>
      <c r="S29" s="57">
        <f>0</f>
        <v>0</v>
      </c>
      <c r="T29" s="57">
        <f>0</f>
        <v>0</v>
      </c>
      <c r="U29" s="57">
        <f>0</f>
        <v>0</v>
      </c>
      <c r="V29" s="57">
        <f>0</f>
        <v>0</v>
      </c>
      <c r="W29" s="57">
        <f>0</f>
        <v>0</v>
      </c>
      <c r="X29" s="57">
        <f>0</f>
        <v>0</v>
      </c>
      <c r="Y29" s="57">
        <f>0</f>
        <v>0</v>
      </c>
      <c r="Z29" s="57">
        <f>0</f>
        <v>0</v>
      </c>
      <c r="AA29" s="57">
        <f>0</f>
        <v>0</v>
      </c>
      <c r="AB29" s="57">
        <f>0</f>
        <v>0</v>
      </c>
      <c r="AC29" s="57">
        <f>0</f>
        <v>0</v>
      </c>
      <c r="AD29" s="57">
        <f>0</f>
        <v>0</v>
      </c>
      <c r="AE29" s="57">
        <f>0</f>
        <v>0</v>
      </c>
      <c r="AF29" s="57">
        <f>0</f>
        <v>0</v>
      </c>
      <c r="AG29" s="57">
        <f>0</f>
        <v>0</v>
      </c>
      <c r="AH29" s="57">
        <f>0</f>
        <v>0</v>
      </c>
      <c r="AI29" s="57">
        <f>0</f>
        <v>0</v>
      </c>
      <c r="AJ29" s="57">
        <f>0</f>
        <v>0</v>
      </c>
      <c r="AK29" s="57">
        <f>0</f>
        <v>0</v>
      </c>
      <c r="AL29" s="57">
        <f>0</f>
        <v>0</v>
      </c>
      <c r="AM29" s="58">
        <f>0</f>
        <v>0</v>
      </c>
      <c r="AN29" s="46"/>
    </row>
    <row r="30" spans="1:40" ht="15" customHeight="1" outlineLevel="1">
      <c r="A30" s="51">
        <v>4</v>
      </c>
      <c r="B30" s="625" t="s">
        <v>24</v>
      </c>
      <c r="C30" s="626"/>
      <c r="D30" s="626"/>
      <c r="E30" s="626"/>
      <c r="F30" s="104">
        <f>2566776.02</f>
        <v>2566776.02</v>
      </c>
      <c r="G30" s="54">
        <f>1802073.56</f>
        <v>1802073.56</v>
      </c>
      <c r="H30" s="54">
        <f>2152185</f>
        <v>2152185</v>
      </c>
      <c r="I30" s="55">
        <f>1229513.94</f>
        <v>1229513.94</v>
      </c>
      <c r="J30" s="56">
        <f>2422816</f>
        <v>2422816</v>
      </c>
      <c r="K30" s="57">
        <f>486701.7</f>
        <v>486701.7</v>
      </c>
      <c r="L30" s="57">
        <f>0</f>
        <v>0</v>
      </c>
      <c r="M30" s="57">
        <f>0</f>
        <v>0</v>
      </c>
      <c r="N30" s="57">
        <f>0</f>
        <v>0</v>
      </c>
      <c r="O30" s="57">
        <f>0</f>
        <v>0</v>
      </c>
      <c r="P30" s="57">
        <f>0</f>
        <v>0</v>
      </c>
      <c r="Q30" s="57">
        <f>0</f>
        <v>0</v>
      </c>
      <c r="R30" s="57">
        <f>0</f>
        <v>0</v>
      </c>
      <c r="S30" s="57">
        <f>0</f>
        <v>0</v>
      </c>
      <c r="T30" s="57">
        <f>0</f>
        <v>0</v>
      </c>
      <c r="U30" s="57">
        <f>0</f>
        <v>0</v>
      </c>
      <c r="V30" s="57">
        <f>0</f>
        <v>0</v>
      </c>
      <c r="W30" s="57">
        <f>0</f>
        <v>0</v>
      </c>
      <c r="X30" s="57">
        <f>0</f>
        <v>0</v>
      </c>
      <c r="Y30" s="57">
        <f>0</f>
        <v>0</v>
      </c>
      <c r="Z30" s="57">
        <f>0</f>
        <v>0</v>
      </c>
      <c r="AA30" s="57">
        <f>0</f>
        <v>0</v>
      </c>
      <c r="AB30" s="57">
        <f>0</f>
        <v>0</v>
      </c>
      <c r="AC30" s="57">
        <f>0</f>
        <v>0</v>
      </c>
      <c r="AD30" s="57">
        <f>0</f>
        <v>0</v>
      </c>
      <c r="AE30" s="57">
        <f>0</f>
        <v>0</v>
      </c>
      <c r="AF30" s="57">
        <f>0</f>
        <v>0</v>
      </c>
      <c r="AG30" s="57">
        <f>0</f>
        <v>0</v>
      </c>
      <c r="AH30" s="57">
        <f>0</f>
        <v>0</v>
      </c>
      <c r="AI30" s="57">
        <f>0</f>
        <v>0</v>
      </c>
      <c r="AJ30" s="57">
        <f>0</f>
        <v>0</v>
      </c>
      <c r="AK30" s="57">
        <f>0</f>
        <v>0</v>
      </c>
      <c r="AL30" s="57">
        <f>0</f>
        <v>0</v>
      </c>
      <c r="AM30" s="58">
        <f>0</f>
        <v>0</v>
      </c>
      <c r="AN30" s="46"/>
    </row>
    <row r="31" spans="1:39" ht="15" customHeight="1" outlineLevel="2">
      <c r="A31" s="52" t="s">
        <v>172</v>
      </c>
      <c r="B31" s="39"/>
      <c r="C31" s="623" t="s">
        <v>233</v>
      </c>
      <c r="D31" s="623"/>
      <c r="E31" s="623"/>
      <c r="F31" s="105">
        <f>0</f>
        <v>0</v>
      </c>
      <c r="G31" s="59">
        <f>0</f>
        <v>0</v>
      </c>
      <c r="H31" s="59">
        <f>369699.82</f>
        <v>369699.82</v>
      </c>
      <c r="I31" s="60">
        <f>0</f>
        <v>0</v>
      </c>
      <c r="J31" s="61">
        <f>0</f>
        <v>0</v>
      </c>
      <c r="K31" s="62">
        <f>0</f>
        <v>0</v>
      </c>
      <c r="L31" s="62">
        <f>0</f>
        <v>0</v>
      </c>
      <c r="M31" s="62">
        <f>0</f>
        <v>0</v>
      </c>
      <c r="N31" s="62">
        <f>0</f>
        <v>0</v>
      </c>
      <c r="O31" s="62">
        <f>0</f>
        <v>0</v>
      </c>
      <c r="P31" s="62">
        <f>0</f>
        <v>0</v>
      </c>
      <c r="Q31" s="62">
        <f>0</f>
        <v>0</v>
      </c>
      <c r="R31" s="62">
        <f>0</f>
        <v>0</v>
      </c>
      <c r="S31" s="62">
        <f>0</f>
        <v>0</v>
      </c>
      <c r="T31" s="62">
        <f>0</f>
        <v>0</v>
      </c>
      <c r="U31" s="62">
        <f>0</f>
        <v>0</v>
      </c>
      <c r="V31" s="62">
        <f>0</f>
        <v>0</v>
      </c>
      <c r="W31" s="62">
        <f>0</f>
        <v>0</v>
      </c>
      <c r="X31" s="62">
        <f>0</f>
        <v>0</v>
      </c>
      <c r="Y31" s="62">
        <f>0</f>
        <v>0</v>
      </c>
      <c r="Z31" s="62">
        <f>0</f>
        <v>0</v>
      </c>
      <c r="AA31" s="62">
        <f>0</f>
        <v>0</v>
      </c>
      <c r="AB31" s="62">
        <f>0</f>
        <v>0</v>
      </c>
      <c r="AC31" s="62">
        <f>0</f>
        <v>0</v>
      </c>
      <c r="AD31" s="62">
        <f>0</f>
        <v>0</v>
      </c>
      <c r="AE31" s="62">
        <f>0</f>
        <v>0</v>
      </c>
      <c r="AF31" s="62">
        <f>0</f>
        <v>0</v>
      </c>
      <c r="AG31" s="62">
        <f>0</f>
        <v>0</v>
      </c>
      <c r="AH31" s="62">
        <f>0</f>
        <v>0</v>
      </c>
      <c r="AI31" s="62">
        <f>0</f>
        <v>0</v>
      </c>
      <c r="AJ31" s="62">
        <f>0</f>
        <v>0</v>
      </c>
      <c r="AK31" s="62">
        <f>0</f>
        <v>0</v>
      </c>
      <c r="AL31" s="62">
        <f>0</f>
        <v>0</v>
      </c>
      <c r="AM31" s="63">
        <f>0</f>
        <v>0</v>
      </c>
    </row>
    <row r="32" spans="1:39" ht="15" customHeight="1" outlineLevel="2">
      <c r="A32" s="52" t="s">
        <v>78</v>
      </c>
      <c r="B32" s="39"/>
      <c r="C32" s="40"/>
      <c r="D32" s="623" t="s">
        <v>234</v>
      </c>
      <c r="E32" s="623"/>
      <c r="F32" s="105">
        <f>0</f>
        <v>0</v>
      </c>
      <c r="G32" s="59">
        <f>0</f>
        <v>0</v>
      </c>
      <c r="H32" s="59">
        <f>369699.82</f>
        <v>369699.82</v>
      </c>
      <c r="I32" s="60">
        <f>0</f>
        <v>0</v>
      </c>
      <c r="J32" s="61">
        <f>0</f>
        <v>0</v>
      </c>
      <c r="K32" s="62">
        <f>0</f>
        <v>0</v>
      </c>
      <c r="L32" s="62">
        <f>0</f>
        <v>0</v>
      </c>
      <c r="M32" s="62">
        <f>0</f>
        <v>0</v>
      </c>
      <c r="N32" s="62">
        <f>0</f>
        <v>0</v>
      </c>
      <c r="O32" s="62">
        <f>0</f>
        <v>0</v>
      </c>
      <c r="P32" s="62">
        <f>0</f>
        <v>0</v>
      </c>
      <c r="Q32" s="62">
        <f>0</f>
        <v>0</v>
      </c>
      <c r="R32" s="62">
        <f>0</f>
        <v>0</v>
      </c>
      <c r="S32" s="62">
        <f>0</f>
        <v>0</v>
      </c>
      <c r="T32" s="62">
        <f>0</f>
        <v>0</v>
      </c>
      <c r="U32" s="62">
        <f>0</f>
        <v>0</v>
      </c>
      <c r="V32" s="62">
        <f>0</f>
        <v>0</v>
      </c>
      <c r="W32" s="62">
        <f>0</f>
        <v>0</v>
      </c>
      <c r="X32" s="62">
        <f>0</f>
        <v>0</v>
      </c>
      <c r="Y32" s="62">
        <f>0</f>
        <v>0</v>
      </c>
      <c r="Z32" s="62">
        <f>0</f>
        <v>0</v>
      </c>
      <c r="AA32" s="62">
        <f>0</f>
        <v>0</v>
      </c>
      <c r="AB32" s="62">
        <f>0</f>
        <v>0</v>
      </c>
      <c r="AC32" s="62">
        <f>0</f>
        <v>0</v>
      </c>
      <c r="AD32" s="62">
        <f>0</f>
        <v>0</v>
      </c>
      <c r="AE32" s="62">
        <f>0</f>
        <v>0</v>
      </c>
      <c r="AF32" s="62">
        <f>0</f>
        <v>0</v>
      </c>
      <c r="AG32" s="62">
        <f>0</f>
        <v>0</v>
      </c>
      <c r="AH32" s="62">
        <f>0</f>
        <v>0</v>
      </c>
      <c r="AI32" s="62">
        <f>0</f>
        <v>0</v>
      </c>
      <c r="AJ32" s="62">
        <f>0</f>
        <v>0</v>
      </c>
      <c r="AK32" s="62">
        <f>0</f>
        <v>0</v>
      </c>
      <c r="AL32" s="62">
        <f>0</f>
        <v>0</v>
      </c>
      <c r="AM32" s="63">
        <f>0</f>
        <v>0</v>
      </c>
    </row>
    <row r="33" spans="1:39" ht="15" customHeight="1" outlineLevel="2">
      <c r="A33" s="52" t="s">
        <v>173</v>
      </c>
      <c r="B33" s="39"/>
      <c r="C33" s="623" t="s">
        <v>235</v>
      </c>
      <c r="D33" s="623"/>
      <c r="E33" s="623"/>
      <c r="F33" s="105">
        <f>666776.02</f>
        <v>666776.02</v>
      </c>
      <c r="G33" s="59">
        <f>302073.56</f>
        <v>302073.56</v>
      </c>
      <c r="H33" s="59">
        <f>430300.18</f>
        <v>430300.18</v>
      </c>
      <c r="I33" s="60">
        <f>929513.94</f>
        <v>929513.94</v>
      </c>
      <c r="J33" s="61">
        <f>1112000</f>
        <v>1112000</v>
      </c>
      <c r="K33" s="62">
        <f>0</f>
        <v>0</v>
      </c>
      <c r="L33" s="62">
        <f>0</f>
        <v>0</v>
      </c>
      <c r="M33" s="62">
        <f>0</f>
        <v>0</v>
      </c>
      <c r="N33" s="62">
        <f>0</f>
        <v>0</v>
      </c>
      <c r="O33" s="62">
        <f>0</f>
        <v>0</v>
      </c>
      <c r="P33" s="62">
        <f>0</f>
        <v>0</v>
      </c>
      <c r="Q33" s="62">
        <f>0</f>
        <v>0</v>
      </c>
      <c r="R33" s="62">
        <f>0</f>
        <v>0</v>
      </c>
      <c r="S33" s="62">
        <f>0</f>
        <v>0</v>
      </c>
      <c r="T33" s="62">
        <f>0</f>
        <v>0</v>
      </c>
      <c r="U33" s="62">
        <f>0</f>
        <v>0</v>
      </c>
      <c r="V33" s="62">
        <f>0</f>
        <v>0</v>
      </c>
      <c r="W33" s="62">
        <f>0</f>
        <v>0</v>
      </c>
      <c r="X33" s="62">
        <f>0</f>
        <v>0</v>
      </c>
      <c r="Y33" s="62">
        <f>0</f>
        <v>0</v>
      </c>
      <c r="Z33" s="62">
        <f>0</f>
        <v>0</v>
      </c>
      <c r="AA33" s="62">
        <f>0</f>
        <v>0</v>
      </c>
      <c r="AB33" s="62">
        <f>0</f>
        <v>0</v>
      </c>
      <c r="AC33" s="62">
        <f>0</f>
        <v>0</v>
      </c>
      <c r="AD33" s="62">
        <f>0</f>
        <v>0</v>
      </c>
      <c r="AE33" s="62">
        <f>0</f>
        <v>0</v>
      </c>
      <c r="AF33" s="62">
        <f>0</f>
        <v>0</v>
      </c>
      <c r="AG33" s="62">
        <f>0</f>
        <v>0</v>
      </c>
      <c r="AH33" s="62">
        <f>0</f>
        <v>0</v>
      </c>
      <c r="AI33" s="62">
        <f>0</f>
        <v>0</v>
      </c>
      <c r="AJ33" s="62">
        <f>0</f>
        <v>0</v>
      </c>
      <c r="AK33" s="62">
        <f>0</f>
        <v>0</v>
      </c>
      <c r="AL33" s="62">
        <f>0</f>
        <v>0</v>
      </c>
      <c r="AM33" s="63">
        <f>0</f>
        <v>0</v>
      </c>
    </row>
    <row r="34" spans="1:39" ht="15" customHeight="1" outlineLevel="2">
      <c r="A34" s="52" t="s">
        <v>81</v>
      </c>
      <c r="B34" s="39"/>
      <c r="C34" s="40"/>
      <c r="D34" s="623" t="s">
        <v>234</v>
      </c>
      <c r="E34" s="623"/>
      <c r="F34" s="105">
        <f>46521.02</f>
        <v>46521.02</v>
      </c>
      <c r="G34" s="59">
        <f>0</f>
        <v>0</v>
      </c>
      <c r="H34" s="59">
        <f>430300.18</f>
        <v>430300.18</v>
      </c>
      <c r="I34" s="60">
        <f>0</f>
        <v>0</v>
      </c>
      <c r="J34" s="61">
        <f>1112000</f>
        <v>1112000</v>
      </c>
      <c r="K34" s="62">
        <f>0</f>
        <v>0</v>
      </c>
      <c r="L34" s="62">
        <f>0</f>
        <v>0</v>
      </c>
      <c r="M34" s="62">
        <f>0</f>
        <v>0</v>
      </c>
      <c r="N34" s="62">
        <f>0</f>
        <v>0</v>
      </c>
      <c r="O34" s="62">
        <f>0</f>
        <v>0</v>
      </c>
      <c r="P34" s="62">
        <f>0</f>
        <v>0</v>
      </c>
      <c r="Q34" s="62">
        <f>0</f>
        <v>0</v>
      </c>
      <c r="R34" s="62">
        <f>0</f>
        <v>0</v>
      </c>
      <c r="S34" s="62">
        <f>0</f>
        <v>0</v>
      </c>
      <c r="T34" s="62">
        <f>0</f>
        <v>0</v>
      </c>
      <c r="U34" s="62">
        <f>0</f>
        <v>0</v>
      </c>
      <c r="V34" s="62">
        <f>0</f>
        <v>0</v>
      </c>
      <c r="W34" s="62">
        <f>0</f>
        <v>0</v>
      </c>
      <c r="X34" s="62">
        <f>0</f>
        <v>0</v>
      </c>
      <c r="Y34" s="62">
        <f>0</f>
        <v>0</v>
      </c>
      <c r="Z34" s="62">
        <f>0</f>
        <v>0</v>
      </c>
      <c r="AA34" s="62">
        <f>0</f>
        <v>0</v>
      </c>
      <c r="AB34" s="62">
        <f>0</f>
        <v>0</v>
      </c>
      <c r="AC34" s="62">
        <f>0</f>
        <v>0</v>
      </c>
      <c r="AD34" s="62">
        <f>0</f>
        <v>0</v>
      </c>
      <c r="AE34" s="62">
        <f>0</f>
        <v>0</v>
      </c>
      <c r="AF34" s="62">
        <f>0</f>
        <v>0</v>
      </c>
      <c r="AG34" s="62">
        <f>0</f>
        <v>0</v>
      </c>
      <c r="AH34" s="62">
        <f>0</f>
        <v>0</v>
      </c>
      <c r="AI34" s="62">
        <f>0</f>
        <v>0</v>
      </c>
      <c r="AJ34" s="62">
        <f>0</f>
        <v>0</v>
      </c>
      <c r="AK34" s="62">
        <f>0</f>
        <v>0</v>
      </c>
      <c r="AL34" s="62">
        <f>0</f>
        <v>0</v>
      </c>
      <c r="AM34" s="63">
        <f>0</f>
        <v>0</v>
      </c>
    </row>
    <row r="35" spans="1:39" ht="15" customHeight="1" outlineLevel="2">
      <c r="A35" s="52" t="s">
        <v>174</v>
      </c>
      <c r="B35" s="39"/>
      <c r="C35" s="623" t="s">
        <v>236</v>
      </c>
      <c r="D35" s="623"/>
      <c r="E35" s="623"/>
      <c r="F35" s="105">
        <f>1900000</f>
        <v>1900000</v>
      </c>
      <c r="G35" s="59">
        <f>1500000</f>
        <v>1500000</v>
      </c>
      <c r="H35" s="59">
        <f>1352185</f>
        <v>1352185</v>
      </c>
      <c r="I35" s="60">
        <f>300000</f>
        <v>300000</v>
      </c>
      <c r="J35" s="61">
        <f>1310816</f>
        <v>1310816</v>
      </c>
      <c r="K35" s="62">
        <f>486701.7</f>
        <v>486701.7</v>
      </c>
      <c r="L35" s="62">
        <f>0</f>
        <v>0</v>
      </c>
      <c r="M35" s="62">
        <f>0</f>
        <v>0</v>
      </c>
      <c r="N35" s="62">
        <f>0</f>
        <v>0</v>
      </c>
      <c r="O35" s="62">
        <f>0</f>
        <v>0</v>
      </c>
      <c r="P35" s="62">
        <f>0</f>
        <v>0</v>
      </c>
      <c r="Q35" s="62">
        <f>0</f>
        <v>0</v>
      </c>
      <c r="R35" s="62">
        <f>0</f>
        <v>0</v>
      </c>
      <c r="S35" s="62">
        <f>0</f>
        <v>0</v>
      </c>
      <c r="T35" s="62">
        <f>0</f>
        <v>0</v>
      </c>
      <c r="U35" s="62">
        <f>0</f>
        <v>0</v>
      </c>
      <c r="V35" s="62">
        <f>0</f>
        <v>0</v>
      </c>
      <c r="W35" s="62">
        <f>0</f>
        <v>0</v>
      </c>
      <c r="X35" s="62">
        <f>0</f>
        <v>0</v>
      </c>
      <c r="Y35" s="62">
        <f>0</f>
        <v>0</v>
      </c>
      <c r="Z35" s="62">
        <f>0</f>
        <v>0</v>
      </c>
      <c r="AA35" s="62">
        <f>0</f>
        <v>0</v>
      </c>
      <c r="AB35" s="62">
        <f>0</f>
        <v>0</v>
      </c>
      <c r="AC35" s="62">
        <f>0</f>
        <v>0</v>
      </c>
      <c r="AD35" s="62">
        <f>0</f>
        <v>0</v>
      </c>
      <c r="AE35" s="62">
        <f>0</f>
        <v>0</v>
      </c>
      <c r="AF35" s="62">
        <f>0</f>
        <v>0</v>
      </c>
      <c r="AG35" s="62">
        <f>0</f>
        <v>0</v>
      </c>
      <c r="AH35" s="62">
        <f>0</f>
        <v>0</v>
      </c>
      <c r="AI35" s="62">
        <f>0</f>
        <v>0</v>
      </c>
      <c r="AJ35" s="62">
        <f>0</f>
        <v>0</v>
      </c>
      <c r="AK35" s="62">
        <f>0</f>
        <v>0</v>
      </c>
      <c r="AL35" s="62">
        <f>0</f>
        <v>0</v>
      </c>
      <c r="AM35" s="63">
        <f>0</f>
        <v>0</v>
      </c>
    </row>
    <row r="36" spans="1:39" ht="15" customHeight="1" outlineLevel="2">
      <c r="A36" s="52" t="s">
        <v>84</v>
      </c>
      <c r="B36" s="39"/>
      <c r="C36" s="40"/>
      <c r="D36" s="623" t="s">
        <v>234</v>
      </c>
      <c r="E36" s="623"/>
      <c r="F36" s="105">
        <f>1197927</f>
        <v>1197927</v>
      </c>
      <c r="G36" s="59">
        <f>0</f>
        <v>0</v>
      </c>
      <c r="H36" s="59">
        <f>0</f>
        <v>0</v>
      </c>
      <c r="I36" s="60">
        <f>0</f>
        <v>0</v>
      </c>
      <c r="J36" s="61">
        <f>176821</f>
        <v>176821</v>
      </c>
      <c r="K36" s="62">
        <f>0</f>
        <v>0</v>
      </c>
      <c r="L36" s="62">
        <f>0</f>
        <v>0</v>
      </c>
      <c r="M36" s="62">
        <f>0</f>
        <v>0</v>
      </c>
      <c r="N36" s="62">
        <f>0</f>
        <v>0</v>
      </c>
      <c r="O36" s="62">
        <f>0</f>
        <v>0</v>
      </c>
      <c r="P36" s="62">
        <f>0</f>
        <v>0</v>
      </c>
      <c r="Q36" s="62">
        <f>0</f>
        <v>0</v>
      </c>
      <c r="R36" s="62">
        <f>0</f>
        <v>0</v>
      </c>
      <c r="S36" s="62">
        <f>0</f>
        <v>0</v>
      </c>
      <c r="T36" s="62">
        <f>0</f>
        <v>0</v>
      </c>
      <c r="U36" s="62">
        <f>0</f>
        <v>0</v>
      </c>
      <c r="V36" s="62">
        <f>0</f>
        <v>0</v>
      </c>
      <c r="W36" s="62">
        <f>0</f>
        <v>0</v>
      </c>
      <c r="X36" s="62">
        <f>0</f>
        <v>0</v>
      </c>
      <c r="Y36" s="62">
        <f>0</f>
        <v>0</v>
      </c>
      <c r="Z36" s="62">
        <f>0</f>
        <v>0</v>
      </c>
      <c r="AA36" s="62">
        <f>0</f>
        <v>0</v>
      </c>
      <c r="AB36" s="62">
        <f>0</f>
        <v>0</v>
      </c>
      <c r="AC36" s="62">
        <f>0</f>
        <v>0</v>
      </c>
      <c r="AD36" s="62">
        <f>0</f>
        <v>0</v>
      </c>
      <c r="AE36" s="62">
        <f>0</f>
        <v>0</v>
      </c>
      <c r="AF36" s="62">
        <f>0</f>
        <v>0</v>
      </c>
      <c r="AG36" s="62">
        <f>0</f>
        <v>0</v>
      </c>
      <c r="AH36" s="62">
        <f>0</f>
        <v>0</v>
      </c>
      <c r="AI36" s="62">
        <f>0</f>
        <v>0</v>
      </c>
      <c r="AJ36" s="62">
        <f>0</f>
        <v>0</v>
      </c>
      <c r="AK36" s="62">
        <f>0</f>
        <v>0</v>
      </c>
      <c r="AL36" s="62">
        <f>0</f>
        <v>0</v>
      </c>
      <c r="AM36" s="63">
        <f>0</f>
        <v>0</v>
      </c>
    </row>
    <row r="37" spans="1:39" ht="15" customHeight="1" outlineLevel="2">
      <c r="A37" s="52" t="s">
        <v>175</v>
      </c>
      <c r="B37" s="39"/>
      <c r="C37" s="623" t="s">
        <v>237</v>
      </c>
      <c r="D37" s="623"/>
      <c r="E37" s="623"/>
      <c r="F37" s="105">
        <f>0</f>
        <v>0</v>
      </c>
      <c r="G37" s="59">
        <f>0</f>
        <v>0</v>
      </c>
      <c r="H37" s="59">
        <f>0</f>
        <v>0</v>
      </c>
      <c r="I37" s="60">
        <f>0</f>
        <v>0</v>
      </c>
      <c r="J37" s="61">
        <f>0</f>
        <v>0</v>
      </c>
      <c r="K37" s="62">
        <f>0</f>
        <v>0</v>
      </c>
      <c r="L37" s="62">
        <f>0</f>
        <v>0</v>
      </c>
      <c r="M37" s="62">
        <f>0</f>
        <v>0</v>
      </c>
      <c r="N37" s="62">
        <f>0</f>
        <v>0</v>
      </c>
      <c r="O37" s="62">
        <f>0</f>
        <v>0</v>
      </c>
      <c r="P37" s="62">
        <f>0</f>
        <v>0</v>
      </c>
      <c r="Q37" s="62">
        <f>0</f>
        <v>0</v>
      </c>
      <c r="R37" s="62">
        <f>0</f>
        <v>0</v>
      </c>
      <c r="S37" s="62">
        <f>0</f>
        <v>0</v>
      </c>
      <c r="T37" s="62">
        <f>0</f>
        <v>0</v>
      </c>
      <c r="U37" s="62">
        <f>0</f>
        <v>0</v>
      </c>
      <c r="V37" s="62">
        <f>0</f>
        <v>0</v>
      </c>
      <c r="W37" s="62">
        <f>0</f>
        <v>0</v>
      </c>
      <c r="X37" s="62">
        <f>0</f>
        <v>0</v>
      </c>
      <c r="Y37" s="62">
        <f>0</f>
        <v>0</v>
      </c>
      <c r="Z37" s="62">
        <f>0</f>
        <v>0</v>
      </c>
      <c r="AA37" s="62">
        <f>0</f>
        <v>0</v>
      </c>
      <c r="AB37" s="62">
        <f>0</f>
        <v>0</v>
      </c>
      <c r="AC37" s="62">
        <f>0</f>
        <v>0</v>
      </c>
      <c r="AD37" s="62">
        <f>0</f>
        <v>0</v>
      </c>
      <c r="AE37" s="62">
        <f>0</f>
        <v>0</v>
      </c>
      <c r="AF37" s="62">
        <f>0</f>
        <v>0</v>
      </c>
      <c r="AG37" s="62">
        <f>0</f>
        <v>0</v>
      </c>
      <c r="AH37" s="62">
        <f>0</f>
        <v>0</v>
      </c>
      <c r="AI37" s="62">
        <f>0</f>
        <v>0</v>
      </c>
      <c r="AJ37" s="62">
        <f>0</f>
        <v>0</v>
      </c>
      <c r="AK37" s="62">
        <f>0</f>
        <v>0</v>
      </c>
      <c r="AL37" s="62">
        <f>0</f>
        <v>0</v>
      </c>
      <c r="AM37" s="63">
        <f>0</f>
        <v>0</v>
      </c>
    </row>
    <row r="38" spans="1:39" ht="15" customHeight="1" outlineLevel="2">
      <c r="A38" s="52" t="s">
        <v>86</v>
      </c>
      <c r="B38" s="39"/>
      <c r="C38" s="40"/>
      <c r="D38" s="623" t="s">
        <v>234</v>
      </c>
      <c r="E38" s="623"/>
      <c r="F38" s="105">
        <f>0</f>
        <v>0</v>
      </c>
      <c r="G38" s="59">
        <f>0</f>
        <v>0</v>
      </c>
      <c r="H38" s="59">
        <f>0</f>
        <v>0</v>
      </c>
      <c r="I38" s="60">
        <f>0</f>
        <v>0</v>
      </c>
      <c r="J38" s="61">
        <f>0</f>
        <v>0</v>
      </c>
      <c r="K38" s="62">
        <f>0</f>
        <v>0</v>
      </c>
      <c r="L38" s="62">
        <f>0</f>
        <v>0</v>
      </c>
      <c r="M38" s="62">
        <f>0</f>
        <v>0</v>
      </c>
      <c r="N38" s="62">
        <f>0</f>
        <v>0</v>
      </c>
      <c r="O38" s="62">
        <f>0</f>
        <v>0</v>
      </c>
      <c r="P38" s="62">
        <f>0</f>
        <v>0</v>
      </c>
      <c r="Q38" s="62">
        <f>0</f>
        <v>0</v>
      </c>
      <c r="R38" s="62">
        <f>0</f>
        <v>0</v>
      </c>
      <c r="S38" s="62">
        <f>0</f>
        <v>0</v>
      </c>
      <c r="T38" s="62">
        <f>0</f>
        <v>0</v>
      </c>
      <c r="U38" s="62">
        <f>0</f>
        <v>0</v>
      </c>
      <c r="V38" s="62">
        <f>0</f>
        <v>0</v>
      </c>
      <c r="W38" s="62">
        <f>0</f>
        <v>0</v>
      </c>
      <c r="X38" s="62">
        <f>0</f>
        <v>0</v>
      </c>
      <c r="Y38" s="62">
        <f>0</f>
        <v>0</v>
      </c>
      <c r="Z38" s="62">
        <f>0</f>
        <v>0</v>
      </c>
      <c r="AA38" s="62">
        <f>0</f>
        <v>0</v>
      </c>
      <c r="AB38" s="62">
        <f>0</f>
        <v>0</v>
      </c>
      <c r="AC38" s="62">
        <f>0</f>
        <v>0</v>
      </c>
      <c r="AD38" s="62">
        <f>0</f>
        <v>0</v>
      </c>
      <c r="AE38" s="62">
        <f>0</f>
        <v>0</v>
      </c>
      <c r="AF38" s="62">
        <f>0</f>
        <v>0</v>
      </c>
      <c r="AG38" s="62">
        <f>0</f>
        <v>0</v>
      </c>
      <c r="AH38" s="62">
        <f>0</f>
        <v>0</v>
      </c>
      <c r="AI38" s="62">
        <f>0</f>
        <v>0</v>
      </c>
      <c r="AJ38" s="62">
        <f>0</f>
        <v>0</v>
      </c>
      <c r="AK38" s="62">
        <f>0</f>
        <v>0</v>
      </c>
      <c r="AL38" s="62">
        <f>0</f>
        <v>0</v>
      </c>
      <c r="AM38" s="63">
        <f>0</f>
        <v>0</v>
      </c>
    </row>
    <row r="39" spans="1:40" ht="15" customHeight="1" outlineLevel="1">
      <c r="A39" s="51">
        <v>5</v>
      </c>
      <c r="B39" s="625" t="s">
        <v>87</v>
      </c>
      <c r="C39" s="626"/>
      <c r="D39" s="626"/>
      <c r="E39" s="626"/>
      <c r="F39" s="104">
        <f>1020254</f>
        <v>1020254</v>
      </c>
      <c r="G39" s="54">
        <f>1242259.44</f>
        <v>1242259.44</v>
      </c>
      <c r="H39" s="54">
        <f>1049260</f>
        <v>1049260</v>
      </c>
      <c r="I39" s="55">
        <f>1049259.44</f>
        <v>1049259.44</v>
      </c>
      <c r="J39" s="56">
        <f>1133995</f>
        <v>1133995</v>
      </c>
      <c r="K39" s="57">
        <f>694000</f>
        <v>694000</v>
      </c>
      <c r="L39" s="57">
        <f>826000</f>
        <v>826000</v>
      </c>
      <c r="M39" s="57">
        <f>1050000</f>
        <v>1050000</v>
      </c>
      <c r="N39" s="57">
        <f>1150000</f>
        <v>1150000</v>
      </c>
      <c r="O39" s="57">
        <f>1123921</f>
        <v>1123921</v>
      </c>
      <c r="P39" s="57">
        <f>1000000</f>
        <v>1000000</v>
      </c>
      <c r="Q39" s="57">
        <f>249496.46</f>
        <v>249496.46</v>
      </c>
      <c r="R39" s="57">
        <f>0</f>
        <v>0</v>
      </c>
      <c r="S39" s="57">
        <f>0</f>
        <v>0</v>
      </c>
      <c r="T39" s="57">
        <f>0</f>
        <v>0</v>
      </c>
      <c r="U39" s="57">
        <f>0</f>
        <v>0</v>
      </c>
      <c r="V39" s="57">
        <f>0</f>
        <v>0</v>
      </c>
      <c r="W39" s="57">
        <f>0</f>
        <v>0</v>
      </c>
      <c r="X39" s="57">
        <f>0</f>
        <v>0</v>
      </c>
      <c r="Y39" s="57">
        <f>0</f>
        <v>0</v>
      </c>
      <c r="Z39" s="57">
        <f>0</f>
        <v>0</v>
      </c>
      <c r="AA39" s="57">
        <f>0</f>
        <v>0</v>
      </c>
      <c r="AB39" s="57">
        <f>0</f>
        <v>0</v>
      </c>
      <c r="AC39" s="57">
        <f>0</f>
        <v>0</v>
      </c>
      <c r="AD39" s="57">
        <f>0</f>
        <v>0</v>
      </c>
      <c r="AE39" s="57">
        <f>0</f>
        <v>0</v>
      </c>
      <c r="AF39" s="57">
        <f>0</f>
        <v>0</v>
      </c>
      <c r="AG39" s="57">
        <f>0</f>
        <v>0</v>
      </c>
      <c r="AH39" s="57">
        <f>0</f>
        <v>0</v>
      </c>
      <c r="AI39" s="57">
        <f>0</f>
        <v>0</v>
      </c>
      <c r="AJ39" s="57">
        <f>0</f>
        <v>0</v>
      </c>
      <c r="AK39" s="57">
        <f>0</f>
        <v>0</v>
      </c>
      <c r="AL39" s="57">
        <f>0</f>
        <v>0</v>
      </c>
      <c r="AM39" s="58">
        <f>0</f>
        <v>0</v>
      </c>
      <c r="AN39" s="46"/>
    </row>
    <row r="40" spans="1:39" ht="15" customHeight="1" outlineLevel="2">
      <c r="A40" s="52" t="s">
        <v>176</v>
      </c>
      <c r="B40" s="39"/>
      <c r="C40" s="623" t="s">
        <v>238</v>
      </c>
      <c r="D40" s="623"/>
      <c r="E40" s="623"/>
      <c r="F40" s="105">
        <f>1020254</f>
        <v>1020254</v>
      </c>
      <c r="G40" s="59">
        <f>1242259.44</f>
        <v>1242259.44</v>
      </c>
      <c r="H40" s="59">
        <f>1049260</f>
        <v>1049260</v>
      </c>
      <c r="I40" s="60">
        <f>1049259.44</f>
        <v>1049259.44</v>
      </c>
      <c r="J40" s="61">
        <f>1133995</f>
        <v>1133995</v>
      </c>
      <c r="K40" s="62">
        <f>694000</f>
        <v>694000</v>
      </c>
      <c r="L40" s="62">
        <f>826000</f>
        <v>826000</v>
      </c>
      <c r="M40" s="62">
        <f>1050000</f>
        <v>1050000</v>
      </c>
      <c r="N40" s="62">
        <f>1150000</f>
        <v>1150000</v>
      </c>
      <c r="O40" s="62">
        <f>1123921</f>
        <v>1123921</v>
      </c>
      <c r="P40" s="62">
        <f>1000000</f>
        <v>1000000</v>
      </c>
      <c r="Q40" s="62">
        <f>249496.46</f>
        <v>249496.46</v>
      </c>
      <c r="R40" s="62">
        <f>0</f>
        <v>0</v>
      </c>
      <c r="S40" s="62">
        <f>0</f>
        <v>0</v>
      </c>
      <c r="T40" s="62">
        <f>0</f>
        <v>0</v>
      </c>
      <c r="U40" s="62">
        <f>0</f>
        <v>0</v>
      </c>
      <c r="V40" s="62">
        <f>0</f>
        <v>0</v>
      </c>
      <c r="W40" s="62">
        <f>0</f>
        <v>0</v>
      </c>
      <c r="X40" s="62">
        <f>0</f>
        <v>0</v>
      </c>
      <c r="Y40" s="62">
        <f>0</f>
        <v>0</v>
      </c>
      <c r="Z40" s="62">
        <f>0</f>
        <v>0</v>
      </c>
      <c r="AA40" s="62">
        <f>0</f>
        <v>0</v>
      </c>
      <c r="AB40" s="62">
        <f>0</f>
        <v>0</v>
      </c>
      <c r="AC40" s="62">
        <f>0</f>
        <v>0</v>
      </c>
      <c r="AD40" s="62">
        <f>0</f>
        <v>0</v>
      </c>
      <c r="AE40" s="62">
        <f>0</f>
        <v>0</v>
      </c>
      <c r="AF40" s="62">
        <f>0</f>
        <v>0</v>
      </c>
      <c r="AG40" s="62">
        <f>0</f>
        <v>0</v>
      </c>
      <c r="AH40" s="62">
        <f>0</f>
        <v>0</v>
      </c>
      <c r="AI40" s="62">
        <f>0</f>
        <v>0</v>
      </c>
      <c r="AJ40" s="62">
        <f>0</f>
        <v>0</v>
      </c>
      <c r="AK40" s="62">
        <f>0</f>
        <v>0</v>
      </c>
      <c r="AL40" s="62">
        <f>0</f>
        <v>0</v>
      </c>
      <c r="AM40" s="63">
        <f>0</f>
        <v>0</v>
      </c>
    </row>
    <row r="41" spans="1:39" ht="62.25" customHeight="1" outlineLevel="2">
      <c r="A41" s="52" t="s">
        <v>89</v>
      </c>
      <c r="B41" s="39"/>
      <c r="C41" s="40"/>
      <c r="D41" s="623" t="s">
        <v>239</v>
      </c>
      <c r="E41" s="623"/>
      <c r="F41" s="105">
        <f>0</f>
        <v>0</v>
      </c>
      <c r="G41" s="59">
        <f>0</f>
        <v>0</v>
      </c>
      <c r="H41" s="59">
        <f>0</f>
        <v>0</v>
      </c>
      <c r="I41" s="60">
        <f>0</f>
        <v>0</v>
      </c>
      <c r="J41" s="61">
        <f>0</f>
        <v>0</v>
      </c>
      <c r="K41" s="62">
        <f>0</f>
        <v>0</v>
      </c>
      <c r="L41" s="62">
        <f>0</f>
        <v>0</v>
      </c>
      <c r="M41" s="62">
        <f>0</f>
        <v>0</v>
      </c>
      <c r="N41" s="62">
        <f>0</f>
        <v>0</v>
      </c>
      <c r="O41" s="62">
        <f>0</f>
        <v>0</v>
      </c>
      <c r="P41" s="62">
        <f>0</f>
        <v>0</v>
      </c>
      <c r="Q41" s="62">
        <f>0</f>
        <v>0</v>
      </c>
      <c r="R41" s="62">
        <f>0</f>
        <v>0</v>
      </c>
      <c r="S41" s="62">
        <f>0</f>
        <v>0</v>
      </c>
      <c r="T41" s="62">
        <f>0</f>
        <v>0</v>
      </c>
      <c r="U41" s="62">
        <f>0</f>
        <v>0</v>
      </c>
      <c r="V41" s="62">
        <f>0</f>
        <v>0</v>
      </c>
      <c r="W41" s="62">
        <f>0</f>
        <v>0</v>
      </c>
      <c r="X41" s="62">
        <f>0</f>
        <v>0</v>
      </c>
      <c r="Y41" s="62">
        <f>0</f>
        <v>0</v>
      </c>
      <c r="Z41" s="62">
        <f>0</f>
        <v>0</v>
      </c>
      <c r="AA41" s="62">
        <f>0</f>
        <v>0</v>
      </c>
      <c r="AB41" s="62">
        <f>0</f>
        <v>0</v>
      </c>
      <c r="AC41" s="62">
        <f>0</f>
        <v>0</v>
      </c>
      <c r="AD41" s="62">
        <f>0</f>
        <v>0</v>
      </c>
      <c r="AE41" s="62">
        <f>0</f>
        <v>0</v>
      </c>
      <c r="AF41" s="62">
        <f>0</f>
        <v>0</v>
      </c>
      <c r="AG41" s="62">
        <f>0</f>
        <v>0</v>
      </c>
      <c r="AH41" s="62">
        <f>0</f>
        <v>0</v>
      </c>
      <c r="AI41" s="62">
        <f>0</f>
        <v>0</v>
      </c>
      <c r="AJ41" s="62">
        <f>0</f>
        <v>0</v>
      </c>
      <c r="AK41" s="62">
        <f>0</f>
        <v>0</v>
      </c>
      <c r="AL41" s="62">
        <f>0</f>
        <v>0</v>
      </c>
      <c r="AM41" s="63">
        <f>0</f>
        <v>0</v>
      </c>
    </row>
    <row r="42" spans="1:39" ht="25.5" customHeight="1" outlineLevel="2">
      <c r="A42" s="52" t="s">
        <v>91</v>
      </c>
      <c r="B42" s="39"/>
      <c r="C42" s="40"/>
      <c r="D42" s="40"/>
      <c r="E42" s="102" t="s">
        <v>240</v>
      </c>
      <c r="F42" s="105">
        <f>0</f>
        <v>0</v>
      </c>
      <c r="G42" s="59">
        <f>0</f>
        <v>0</v>
      </c>
      <c r="H42" s="59">
        <f>0</f>
        <v>0</v>
      </c>
      <c r="I42" s="60">
        <f>0</f>
        <v>0</v>
      </c>
      <c r="J42" s="61">
        <f>0</f>
        <v>0</v>
      </c>
      <c r="K42" s="62">
        <f>0</f>
        <v>0</v>
      </c>
      <c r="L42" s="62">
        <f>0</f>
        <v>0</v>
      </c>
      <c r="M42" s="62">
        <f>0</f>
        <v>0</v>
      </c>
      <c r="N42" s="62">
        <f>0</f>
        <v>0</v>
      </c>
      <c r="O42" s="62">
        <f>0</f>
        <v>0</v>
      </c>
      <c r="P42" s="62">
        <f>0</f>
        <v>0</v>
      </c>
      <c r="Q42" s="62">
        <f>0</f>
        <v>0</v>
      </c>
      <c r="R42" s="62">
        <f>0</f>
        <v>0</v>
      </c>
      <c r="S42" s="62">
        <f>0</f>
        <v>0</v>
      </c>
      <c r="T42" s="62">
        <f>0</f>
        <v>0</v>
      </c>
      <c r="U42" s="62">
        <f>0</f>
        <v>0</v>
      </c>
      <c r="V42" s="62">
        <f>0</f>
        <v>0</v>
      </c>
      <c r="W42" s="62">
        <f>0</f>
        <v>0</v>
      </c>
      <c r="X42" s="62">
        <f>0</f>
        <v>0</v>
      </c>
      <c r="Y42" s="62">
        <f>0</f>
        <v>0</v>
      </c>
      <c r="Z42" s="62">
        <f>0</f>
        <v>0</v>
      </c>
      <c r="AA42" s="62">
        <f>0</f>
        <v>0</v>
      </c>
      <c r="AB42" s="62">
        <f>0</f>
        <v>0</v>
      </c>
      <c r="AC42" s="62">
        <f>0</f>
        <v>0</v>
      </c>
      <c r="AD42" s="62">
        <f>0</f>
        <v>0</v>
      </c>
      <c r="AE42" s="62">
        <f>0</f>
        <v>0</v>
      </c>
      <c r="AF42" s="62">
        <f>0</f>
        <v>0</v>
      </c>
      <c r="AG42" s="62">
        <f>0</f>
        <v>0</v>
      </c>
      <c r="AH42" s="62">
        <f>0</f>
        <v>0</v>
      </c>
      <c r="AI42" s="62">
        <f>0</f>
        <v>0</v>
      </c>
      <c r="AJ42" s="62">
        <f>0</f>
        <v>0</v>
      </c>
      <c r="AK42" s="62">
        <f>0</f>
        <v>0</v>
      </c>
      <c r="AL42" s="62">
        <f>0</f>
        <v>0</v>
      </c>
      <c r="AM42" s="63">
        <f>0</f>
        <v>0</v>
      </c>
    </row>
    <row r="43" spans="1:39" ht="15" customHeight="1" outlineLevel="2">
      <c r="A43" s="52" t="s">
        <v>177</v>
      </c>
      <c r="B43" s="39"/>
      <c r="C43" s="623" t="s">
        <v>241</v>
      </c>
      <c r="D43" s="623"/>
      <c r="E43" s="623"/>
      <c r="F43" s="105">
        <f>0</f>
        <v>0</v>
      </c>
      <c r="G43" s="59">
        <f>0</f>
        <v>0</v>
      </c>
      <c r="H43" s="59">
        <f>0</f>
        <v>0</v>
      </c>
      <c r="I43" s="60">
        <f>0</f>
        <v>0</v>
      </c>
      <c r="J43" s="61">
        <f>0</f>
        <v>0</v>
      </c>
      <c r="K43" s="62">
        <f>0</f>
        <v>0</v>
      </c>
      <c r="L43" s="62">
        <f>0</f>
        <v>0</v>
      </c>
      <c r="M43" s="62">
        <f>0</f>
        <v>0</v>
      </c>
      <c r="N43" s="62">
        <f>0</f>
        <v>0</v>
      </c>
      <c r="O43" s="62">
        <f>0</f>
        <v>0</v>
      </c>
      <c r="P43" s="62">
        <f>0</f>
        <v>0</v>
      </c>
      <c r="Q43" s="62">
        <f>0</f>
        <v>0</v>
      </c>
      <c r="R43" s="62">
        <f>0</f>
        <v>0</v>
      </c>
      <c r="S43" s="62">
        <f>0</f>
        <v>0</v>
      </c>
      <c r="T43" s="62">
        <f>0</f>
        <v>0</v>
      </c>
      <c r="U43" s="62">
        <f>0</f>
        <v>0</v>
      </c>
      <c r="V43" s="62">
        <f>0</f>
        <v>0</v>
      </c>
      <c r="W43" s="62">
        <f>0</f>
        <v>0</v>
      </c>
      <c r="X43" s="62">
        <f>0</f>
        <v>0</v>
      </c>
      <c r="Y43" s="62">
        <f>0</f>
        <v>0</v>
      </c>
      <c r="Z43" s="62">
        <f>0</f>
        <v>0</v>
      </c>
      <c r="AA43" s="62">
        <f>0</f>
        <v>0</v>
      </c>
      <c r="AB43" s="62">
        <f>0</f>
        <v>0</v>
      </c>
      <c r="AC43" s="62">
        <f>0</f>
        <v>0</v>
      </c>
      <c r="AD43" s="62">
        <f>0</f>
        <v>0</v>
      </c>
      <c r="AE43" s="62">
        <f>0</f>
        <v>0</v>
      </c>
      <c r="AF43" s="62">
        <f>0</f>
        <v>0</v>
      </c>
      <c r="AG43" s="62">
        <f>0</f>
        <v>0</v>
      </c>
      <c r="AH43" s="62">
        <f>0</f>
        <v>0</v>
      </c>
      <c r="AI43" s="62">
        <f>0</f>
        <v>0</v>
      </c>
      <c r="AJ43" s="62">
        <f>0</f>
        <v>0</v>
      </c>
      <c r="AK43" s="62">
        <f>0</f>
        <v>0</v>
      </c>
      <c r="AL43" s="62">
        <f>0</f>
        <v>0</v>
      </c>
      <c r="AM43" s="63">
        <f>0</f>
        <v>0</v>
      </c>
    </row>
    <row r="44" spans="1:40" ht="15" customHeight="1" outlineLevel="1">
      <c r="A44" s="51">
        <v>6</v>
      </c>
      <c r="B44" s="625" t="s">
        <v>27</v>
      </c>
      <c r="C44" s="626"/>
      <c r="D44" s="626"/>
      <c r="E44" s="626"/>
      <c r="F44" s="104">
        <f>6131413.64</f>
        <v>6131413.64</v>
      </c>
      <c r="G44" s="54">
        <f>6389154.2</f>
        <v>6389154.2</v>
      </c>
      <c r="H44" s="54">
        <f>6692079.2</f>
        <v>6692079.2</v>
      </c>
      <c r="I44" s="55">
        <f>5430035.79</f>
        <v>5430035.79</v>
      </c>
      <c r="J44" s="56">
        <f>5606715.76</f>
        <v>5606715.76</v>
      </c>
      <c r="K44" s="57">
        <f>5399417.46</f>
        <v>5399417.46</v>
      </c>
      <c r="L44" s="57">
        <f>4573417.46</f>
        <v>4573417.46</v>
      </c>
      <c r="M44" s="57">
        <f>3523417.46</f>
        <v>3523417.46</v>
      </c>
      <c r="N44" s="57">
        <f>2373417.46</f>
        <v>2373417.46</v>
      </c>
      <c r="O44" s="57">
        <f>1249496.46</f>
        <v>1249496.46</v>
      </c>
      <c r="P44" s="57">
        <f>249496.46</f>
        <v>249496.46</v>
      </c>
      <c r="Q44" s="57">
        <f>0</f>
        <v>0</v>
      </c>
      <c r="R44" s="57">
        <f>0</f>
        <v>0</v>
      </c>
      <c r="S44" s="57">
        <f>0</f>
        <v>0</v>
      </c>
      <c r="T44" s="57">
        <f>0</f>
        <v>0</v>
      </c>
      <c r="U44" s="57">
        <f>0</f>
        <v>0</v>
      </c>
      <c r="V44" s="57">
        <f>0</f>
        <v>0</v>
      </c>
      <c r="W44" s="57">
        <f>0</f>
        <v>0</v>
      </c>
      <c r="X44" s="57">
        <f>0</f>
        <v>0</v>
      </c>
      <c r="Y44" s="57">
        <f>0</f>
        <v>0</v>
      </c>
      <c r="Z44" s="57">
        <f>0</f>
        <v>0</v>
      </c>
      <c r="AA44" s="57">
        <f>0</f>
        <v>0</v>
      </c>
      <c r="AB44" s="57">
        <f>0</f>
        <v>0</v>
      </c>
      <c r="AC44" s="57">
        <f>0</f>
        <v>0</v>
      </c>
      <c r="AD44" s="57">
        <f>0</f>
        <v>0</v>
      </c>
      <c r="AE44" s="57">
        <f>0</f>
        <v>0</v>
      </c>
      <c r="AF44" s="57">
        <f>0</f>
        <v>0</v>
      </c>
      <c r="AG44" s="57">
        <f>0</f>
        <v>0</v>
      </c>
      <c r="AH44" s="57">
        <f>0</f>
        <v>0</v>
      </c>
      <c r="AI44" s="57">
        <f>0</f>
        <v>0</v>
      </c>
      <c r="AJ44" s="57">
        <f>0</f>
        <v>0</v>
      </c>
      <c r="AK44" s="57">
        <f>0</f>
        <v>0</v>
      </c>
      <c r="AL44" s="57">
        <f>0</f>
        <v>0</v>
      </c>
      <c r="AM44" s="58">
        <f>0</f>
        <v>0</v>
      </c>
      <c r="AN44" s="46"/>
    </row>
    <row r="45" spans="1:39" ht="25.5" customHeight="1" outlineLevel="2">
      <c r="A45" s="52" t="s">
        <v>178</v>
      </c>
      <c r="B45" s="39"/>
      <c r="C45" s="623" t="s">
        <v>242</v>
      </c>
      <c r="D45" s="623"/>
      <c r="E45" s="623"/>
      <c r="F45" s="105">
        <f>0</f>
        <v>0</v>
      </c>
      <c r="G45" s="59">
        <f>0</f>
        <v>0</v>
      </c>
      <c r="H45" s="59">
        <f>0</f>
        <v>0</v>
      </c>
      <c r="I45" s="60">
        <f>0</f>
        <v>0</v>
      </c>
      <c r="J45" s="61">
        <f>0</f>
        <v>0</v>
      </c>
      <c r="K45" s="62">
        <f>0</f>
        <v>0</v>
      </c>
      <c r="L45" s="62">
        <f>0</f>
        <v>0</v>
      </c>
      <c r="M45" s="62">
        <f>0</f>
        <v>0</v>
      </c>
      <c r="N45" s="62">
        <f>0</f>
        <v>0</v>
      </c>
      <c r="O45" s="62">
        <f>0</f>
        <v>0</v>
      </c>
      <c r="P45" s="62">
        <f>0</f>
        <v>0</v>
      </c>
      <c r="Q45" s="62">
        <f>0</f>
        <v>0</v>
      </c>
      <c r="R45" s="62">
        <f>0</f>
        <v>0</v>
      </c>
      <c r="S45" s="62">
        <f>0</f>
        <v>0</v>
      </c>
      <c r="T45" s="62">
        <f>0</f>
        <v>0</v>
      </c>
      <c r="U45" s="62">
        <f>0</f>
        <v>0</v>
      </c>
      <c r="V45" s="62">
        <f>0</f>
        <v>0</v>
      </c>
      <c r="W45" s="62">
        <f>0</f>
        <v>0</v>
      </c>
      <c r="X45" s="62">
        <f>0</f>
        <v>0</v>
      </c>
      <c r="Y45" s="62">
        <f>0</f>
        <v>0</v>
      </c>
      <c r="Z45" s="62">
        <f>0</f>
        <v>0</v>
      </c>
      <c r="AA45" s="62">
        <f>0</f>
        <v>0</v>
      </c>
      <c r="AB45" s="62">
        <f>0</f>
        <v>0</v>
      </c>
      <c r="AC45" s="62">
        <f>0</f>
        <v>0</v>
      </c>
      <c r="AD45" s="62">
        <f>0</f>
        <v>0</v>
      </c>
      <c r="AE45" s="62">
        <f>0</f>
        <v>0</v>
      </c>
      <c r="AF45" s="62">
        <f>0</f>
        <v>0</v>
      </c>
      <c r="AG45" s="62">
        <f>0</f>
        <v>0</v>
      </c>
      <c r="AH45" s="62">
        <f>0</f>
        <v>0</v>
      </c>
      <c r="AI45" s="62">
        <f>0</f>
        <v>0</v>
      </c>
      <c r="AJ45" s="62">
        <f>0</f>
        <v>0</v>
      </c>
      <c r="AK45" s="62">
        <f>0</f>
        <v>0</v>
      </c>
      <c r="AL45" s="62">
        <f>0</f>
        <v>0</v>
      </c>
      <c r="AM45" s="63">
        <f>0</f>
        <v>0</v>
      </c>
    </row>
    <row r="46" spans="1:39" ht="15" customHeight="1" outlineLevel="2">
      <c r="A46" s="52" t="s">
        <v>95</v>
      </c>
      <c r="B46" s="39"/>
      <c r="C46" s="40"/>
      <c r="D46" s="623" t="s">
        <v>452</v>
      </c>
      <c r="E46" s="623"/>
      <c r="F46" s="105">
        <f>0</f>
        <v>0</v>
      </c>
      <c r="G46" s="59">
        <f>0</f>
        <v>0</v>
      </c>
      <c r="H46" s="59">
        <f>0</f>
        <v>0</v>
      </c>
      <c r="I46" s="60">
        <f>0</f>
        <v>0</v>
      </c>
      <c r="J46" s="61">
        <f>0</f>
        <v>0</v>
      </c>
      <c r="K46" s="62">
        <f>0</f>
        <v>0</v>
      </c>
      <c r="L46" s="62">
        <f>0</f>
        <v>0</v>
      </c>
      <c r="M46" s="62">
        <f>0</f>
        <v>0</v>
      </c>
      <c r="N46" s="62">
        <f>0</f>
        <v>0</v>
      </c>
      <c r="O46" s="62">
        <f>0</f>
        <v>0</v>
      </c>
      <c r="P46" s="62">
        <f>0</f>
        <v>0</v>
      </c>
      <c r="Q46" s="62">
        <f>0</f>
        <v>0</v>
      </c>
      <c r="R46" s="62">
        <f>0</f>
        <v>0</v>
      </c>
      <c r="S46" s="62">
        <f>0</f>
        <v>0</v>
      </c>
      <c r="T46" s="62">
        <f>0</f>
        <v>0</v>
      </c>
      <c r="U46" s="62">
        <f>0</f>
        <v>0</v>
      </c>
      <c r="V46" s="62">
        <f>0</f>
        <v>0</v>
      </c>
      <c r="W46" s="62">
        <f>0</f>
        <v>0</v>
      </c>
      <c r="X46" s="62">
        <f>0</f>
        <v>0</v>
      </c>
      <c r="Y46" s="62">
        <f>0</f>
        <v>0</v>
      </c>
      <c r="Z46" s="62">
        <f>0</f>
        <v>0</v>
      </c>
      <c r="AA46" s="62">
        <f>0</f>
        <v>0</v>
      </c>
      <c r="AB46" s="62">
        <f>0</f>
        <v>0</v>
      </c>
      <c r="AC46" s="62">
        <f>0</f>
        <v>0</v>
      </c>
      <c r="AD46" s="62">
        <f>0</f>
        <v>0</v>
      </c>
      <c r="AE46" s="62">
        <f>0</f>
        <v>0</v>
      </c>
      <c r="AF46" s="62">
        <f>0</f>
        <v>0</v>
      </c>
      <c r="AG46" s="62">
        <f>0</f>
        <v>0</v>
      </c>
      <c r="AH46" s="62">
        <f>0</f>
        <v>0</v>
      </c>
      <c r="AI46" s="62">
        <f>0</f>
        <v>0</v>
      </c>
      <c r="AJ46" s="62">
        <f>0</f>
        <v>0</v>
      </c>
      <c r="AK46" s="62">
        <f>0</f>
        <v>0</v>
      </c>
      <c r="AL46" s="62">
        <f>0</f>
        <v>0</v>
      </c>
      <c r="AM46" s="63">
        <f>0</f>
        <v>0</v>
      </c>
    </row>
    <row r="47" spans="1:39" ht="25.5" customHeight="1" outlineLevel="2">
      <c r="A47" s="52" t="s">
        <v>179</v>
      </c>
      <c r="B47" s="39"/>
      <c r="C47" s="623" t="s">
        <v>458</v>
      </c>
      <c r="D47" s="623"/>
      <c r="E47" s="623"/>
      <c r="F47" s="107">
        <f>0.3527</f>
        <v>0.3527</v>
      </c>
      <c r="G47" s="68">
        <f>0.3621</f>
        <v>0.3621</v>
      </c>
      <c r="H47" s="68">
        <f>0.3482</f>
        <v>0.3482</v>
      </c>
      <c r="I47" s="69">
        <f>0.2784</f>
        <v>0.2784</v>
      </c>
      <c r="J47" s="70">
        <f>0.2669</f>
        <v>0.2669</v>
      </c>
      <c r="K47" s="71">
        <f>0.2574</f>
        <v>0.2574</v>
      </c>
      <c r="L47" s="71">
        <f>0.2117</f>
        <v>0.2117</v>
      </c>
      <c r="M47" s="71">
        <f>0.1582</f>
        <v>0.1582</v>
      </c>
      <c r="N47" s="71">
        <f>0.1027</f>
        <v>0.1027</v>
      </c>
      <c r="O47" s="71">
        <f>0.052</f>
        <v>0.052</v>
      </c>
      <c r="P47" s="71">
        <f>0.01</f>
        <v>0.01</v>
      </c>
      <c r="Q47" s="71">
        <f>0</f>
        <v>0</v>
      </c>
      <c r="R47" s="71">
        <f>0</f>
        <v>0</v>
      </c>
      <c r="S47" s="71">
        <f>0</f>
        <v>0</v>
      </c>
      <c r="T47" s="71">
        <f>0</f>
        <v>0</v>
      </c>
      <c r="U47" s="71">
        <f>0</f>
        <v>0</v>
      </c>
      <c r="V47" s="71">
        <f>0</f>
        <v>0</v>
      </c>
      <c r="W47" s="71">
        <f>0</f>
        <v>0</v>
      </c>
      <c r="X47" s="71">
        <f>0</f>
        <v>0</v>
      </c>
      <c r="Y47" s="71">
        <f>0</f>
        <v>0</v>
      </c>
      <c r="Z47" s="71">
        <f>0</f>
        <v>0</v>
      </c>
      <c r="AA47" s="71">
        <f>0</f>
        <v>0</v>
      </c>
      <c r="AB47" s="71">
        <f>0</f>
        <v>0</v>
      </c>
      <c r="AC47" s="71">
        <f>0</f>
        <v>0</v>
      </c>
      <c r="AD47" s="71">
        <f>0</f>
        <v>0</v>
      </c>
      <c r="AE47" s="71">
        <f>0</f>
        <v>0</v>
      </c>
      <c r="AF47" s="71">
        <f>0</f>
        <v>0</v>
      </c>
      <c r="AG47" s="71">
        <f>0</f>
        <v>0</v>
      </c>
      <c r="AH47" s="71">
        <f>0</f>
        <v>0</v>
      </c>
      <c r="AI47" s="71">
        <f>0</f>
        <v>0</v>
      </c>
      <c r="AJ47" s="71">
        <f>0</f>
        <v>0</v>
      </c>
      <c r="AK47" s="71">
        <f>0</f>
        <v>0</v>
      </c>
      <c r="AL47" s="71">
        <f>0</f>
        <v>0</v>
      </c>
      <c r="AM47" s="72">
        <f>0</f>
        <v>0</v>
      </c>
    </row>
    <row r="48" spans="1:39" ht="25.5" customHeight="1" outlineLevel="2">
      <c r="A48" s="52" t="s">
        <v>180</v>
      </c>
      <c r="B48" s="39"/>
      <c r="C48" s="623" t="s">
        <v>459</v>
      </c>
      <c r="D48" s="623"/>
      <c r="E48" s="623"/>
      <c r="F48" s="107">
        <f>0.3527</f>
        <v>0.3527</v>
      </c>
      <c r="G48" s="68">
        <f>0.3621</f>
        <v>0.3621</v>
      </c>
      <c r="H48" s="68">
        <f>0.3482</f>
        <v>0.3482</v>
      </c>
      <c r="I48" s="69">
        <f>0.2784</f>
        <v>0.2784</v>
      </c>
      <c r="J48" s="70">
        <f>0.2669</f>
        <v>0.2669</v>
      </c>
      <c r="K48" s="71">
        <f>0.2574</f>
        <v>0.2574</v>
      </c>
      <c r="L48" s="71">
        <f>0.2117</f>
        <v>0.2117</v>
      </c>
      <c r="M48" s="71">
        <f>0.1582</f>
        <v>0.1582</v>
      </c>
      <c r="N48" s="71">
        <f>0.1027</f>
        <v>0.1027</v>
      </c>
      <c r="O48" s="71">
        <f>0.052</f>
        <v>0.052</v>
      </c>
      <c r="P48" s="71">
        <f>0.01</f>
        <v>0.01</v>
      </c>
      <c r="Q48" s="71">
        <f>0</f>
        <v>0</v>
      </c>
      <c r="R48" s="71">
        <f>0</f>
        <v>0</v>
      </c>
      <c r="S48" s="71">
        <f>0</f>
        <v>0</v>
      </c>
      <c r="T48" s="71">
        <f>0</f>
        <v>0</v>
      </c>
      <c r="U48" s="71">
        <f>0</f>
        <v>0</v>
      </c>
      <c r="V48" s="71">
        <f>0</f>
        <v>0</v>
      </c>
      <c r="W48" s="71">
        <f>0</f>
        <v>0</v>
      </c>
      <c r="X48" s="71">
        <f>0</f>
        <v>0</v>
      </c>
      <c r="Y48" s="71">
        <f>0</f>
        <v>0</v>
      </c>
      <c r="Z48" s="71">
        <f>0</f>
        <v>0</v>
      </c>
      <c r="AA48" s="71">
        <f>0</f>
        <v>0</v>
      </c>
      <c r="AB48" s="71">
        <f>0</f>
        <v>0</v>
      </c>
      <c r="AC48" s="71">
        <f>0</f>
        <v>0</v>
      </c>
      <c r="AD48" s="71">
        <f>0</f>
        <v>0</v>
      </c>
      <c r="AE48" s="71">
        <f>0</f>
        <v>0</v>
      </c>
      <c r="AF48" s="71">
        <f>0</f>
        <v>0</v>
      </c>
      <c r="AG48" s="71">
        <f>0</f>
        <v>0</v>
      </c>
      <c r="AH48" s="71">
        <f>0</f>
        <v>0</v>
      </c>
      <c r="AI48" s="71">
        <f>0</f>
        <v>0</v>
      </c>
      <c r="AJ48" s="71">
        <f>0</f>
        <v>0</v>
      </c>
      <c r="AK48" s="71">
        <f>0</f>
        <v>0</v>
      </c>
      <c r="AL48" s="71">
        <f>0</f>
        <v>0</v>
      </c>
      <c r="AM48" s="72">
        <f>0</f>
        <v>0</v>
      </c>
    </row>
    <row r="49" spans="1:40" ht="39" customHeight="1" outlineLevel="1">
      <c r="A49" s="51">
        <v>7</v>
      </c>
      <c r="B49" s="625" t="s">
        <v>297</v>
      </c>
      <c r="C49" s="626"/>
      <c r="D49" s="626"/>
      <c r="E49" s="626"/>
      <c r="F49" s="104">
        <f>0</f>
        <v>0</v>
      </c>
      <c r="G49" s="54">
        <f>0</f>
        <v>0</v>
      </c>
      <c r="H49" s="54">
        <f>0</f>
        <v>0</v>
      </c>
      <c r="I49" s="55">
        <f>0</f>
        <v>0</v>
      </c>
      <c r="J49" s="56">
        <f>0</f>
        <v>0</v>
      </c>
      <c r="K49" s="57">
        <f>0</f>
        <v>0</v>
      </c>
      <c r="L49" s="57">
        <f>0</f>
        <v>0</v>
      </c>
      <c r="M49" s="57">
        <f>0</f>
        <v>0</v>
      </c>
      <c r="N49" s="57">
        <f>0</f>
        <v>0</v>
      </c>
      <c r="O49" s="57">
        <f>0</f>
        <v>0</v>
      </c>
      <c r="P49" s="57">
        <f>0</f>
        <v>0</v>
      </c>
      <c r="Q49" s="57">
        <f>0</f>
        <v>0</v>
      </c>
      <c r="R49" s="57">
        <f>0</f>
        <v>0</v>
      </c>
      <c r="S49" s="57">
        <f>0</f>
        <v>0</v>
      </c>
      <c r="T49" s="57">
        <f>0</f>
        <v>0</v>
      </c>
      <c r="U49" s="57">
        <f>0</f>
        <v>0</v>
      </c>
      <c r="V49" s="57">
        <f>0</f>
        <v>0</v>
      </c>
      <c r="W49" s="57">
        <f>0</f>
        <v>0</v>
      </c>
      <c r="X49" s="57">
        <f>0</f>
        <v>0</v>
      </c>
      <c r="Y49" s="57">
        <f>0</f>
        <v>0</v>
      </c>
      <c r="Z49" s="57">
        <f>0</f>
        <v>0</v>
      </c>
      <c r="AA49" s="57">
        <f>0</f>
        <v>0</v>
      </c>
      <c r="AB49" s="57">
        <f>0</f>
        <v>0</v>
      </c>
      <c r="AC49" s="57">
        <f>0</f>
        <v>0</v>
      </c>
      <c r="AD49" s="57">
        <f>0</f>
        <v>0</v>
      </c>
      <c r="AE49" s="57">
        <f>0</f>
        <v>0</v>
      </c>
      <c r="AF49" s="57">
        <f>0</f>
        <v>0</v>
      </c>
      <c r="AG49" s="57">
        <f>0</f>
        <v>0</v>
      </c>
      <c r="AH49" s="57">
        <f>0</f>
        <v>0</v>
      </c>
      <c r="AI49" s="57">
        <f>0</f>
        <v>0</v>
      </c>
      <c r="AJ49" s="57">
        <f>0</f>
        <v>0</v>
      </c>
      <c r="AK49" s="57">
        <f>0</f>
        <v>0</v>
      </c>
      <c r="AL49" s="57">
        <f>0</f>
        <v>0</v>
      </c>
      <c r="AM49" s="58">
        <f>0</f>
        <v>0</v>
      </c>
      <c r="AN49" s="46"/>
    </row>
    <row r="50" spans="1:40" ht="15" customHeight="1" outlineLevel="1">
      <c r="A50" s="51">
        <v>8</v>
      </c>
      <c r="B50" s="625" t="s">
        <v>181</v>
      </c>
      <c r="C50" s="626"/>
      <c r="D50" s="626"/>
      <c r="E50" s="626"/>
      <c r="F50" s="108" t="s">
        <v>31</v>
      </c>
      <c r="G50" s="73" t="s">
        <v>31</v>
      </c>
      <c r="H50" s="73" t="s">
        <v>31</v>
      </c>
      <c r="I50" s="74" t="s">
        <v>31</v>
      </c>
      <c r="J50" s="75" t="s">
        <v>31</v>
      </c>
      <c r="K50" s="76" t="s">
        <v>31</v>
      </c>
      <c r="L50" s="76" t="s">
        <v>31</v>
      </c>
      <c r="M50" s="76" t="s">
        <v>31</v>
      </c>
      <c r="N50" s="76" t="s">
        <v>31</v>
      </c>
      <c r="O50" s="76" t="s">
        <v>31</v>
      </c>
      <c r="P50" s="76" t="s">
        <v>31</v>
      </c>
      <c r="Q50" s="76" t="s">
        <v>31</v>
      </c>
      <c r="R50" s="76" t="s">
        <v>31</v>
      </c>
      <c r="S50" s="76" t="s">
        <v>31</v>
      </c>
      <c r="T50" s="76" t="s">
        <v>31</v>
      </c>
      <c r="U50" s="76" t="s">
        <v>31</v>
      </c>
      <c r="V50" s="76" t="s">
        <v>31</v>
      </c>
      <c r="W50" s="76" t="s">
        <v>31</v>
      </c>
      <c r="X50" s="76" t="s">
        <v>31</v>
      </c>
      <c r="Y50" s="76" t="s">
        <v>31</v>
      </c>
      <c r="Z50" s="76" t="s">
        <v>31</v>
      </c>
      <c r="AA50" s="76" t="s">
        <v>31</v>
      </c>
      <c r="AB50" s="76" t="s">
        <v>31</v>
      </c>
      <c r="AC50" s="76" t="s">
        <v>31</v>
      </c>
      <c r="AD50" s="76" t="s">
        <v>31</v>
      </c>
      <c r="AE50" s="76" t="s">
        <v>31</v>
      </c>
      <c r="AF50" s="76" t="s">
        <v>31</v>
      </c>
      <c r="AG50" s="76" t="s">
        <v>31</v>
      </c>
      <c r="AH50" s="76" t="s">
        <v>31</v>
      </c>
      <c r="AI50" s="76" t="s">
        <v>31</v>
      </c>
      <c r="AJ50" s="76" t="s">
        <v>31</v>
      </c>
      <c r="AK50" s="76" t="s">
        <v>31</v>
      </c>
      <c r="AL50" s="76" t="s">
        <v>31</v>
      </c>
      <c r="AM50" s="77" t="s">
        <v>31</v>
      </c>
      <c r="AN50" s="46"/>
    </row>
    <row r="51" spans="1:39" ht="15" customHeight="1" outlineLevel="2">
      <c r="A51" s="52" t="s">
        <v>182</v>
      </c>
      <c r="B51" s="39"/>
      <c r="C51" s="623" t="s">
        <v>296</v>
      </c>
      <c r="D51" s="623"/>
      <c r="E51" s="623"/>
      <c r="F51" s="105">
        <f>1036282.82</f>
        <v>1036282.82</v>
      </c>
      <c r="G51" s="59">
        <f>1598338.12</f>
        <v>1598338.12</v>
      </c>
      <c r="H51" s="59">
        <f>70251</f>
        <v>70251</v>
      </c>
      <c r="I51" s="60">
        <f>1837399.21</f>
        <v>1837399.21</v>
      </c>
      <c r="J51" s="61">
        <f>957179</f>
        <v>957179</v>
      </c>
      <c r="K51" s="62">
        <f>1537298.3</f>
        <v>1537298.3</v>
      </c>
      <c r="L51" s="62">
        <f>2075515.26</f>
        <v>2075515.26</v>
      </c>
      <c r="M51" s="62">
        <f>2168724.11</f>
        <v>2168724.11</v>
      </c>
      <c r="N51" s="62">
        <f>2274026.25</f>
        <v>2274026.25</v>
      </c>
      <c r="O51" s="62">
        <f>2381472.86</f>
        <v>2381472.86</v>
      </c>
      <c r="P51" s="62">
        <f>2541115.87</f>
        <v>2541115.87</v>
      </c>
      <c r="Q51" s="62">
        <f>2633007.97</f>
        <v>2633007.97</v>
      </c>
      <c r="R51" s="62">
        <f>0</f>
        <v>0</v>
      </c>
      <c r="S51" s="62">
        <f>0</f>
        <v>0</v>
      </c>
      <c r="T51" s="62">
        <f>0</f>
        <v>0</v>
      </c>
      <c r="U51" s="62">
        <f>0</f>
        <v>0</v>
      </c>
      <c r="V51" s="62">
        <f>0</f>
        <v>0</v>
      </c>
      <c r="W51" s="62">
        <f>0</f>
        <v>0</v>
      </c>
      <c r="X51" s="62">
        <f>0</f>
        <v>0</v>
      </c>
      <c r="Y51" s="62">
        <f>0</f>
        <v>0</v>
      </c>
      <c r="Z51" s="62">
        <f>0</f>
        <v>0</v>
      </c>
      <c r="AA51" s="62">
        <f>0</f>
        <v>0</v>
      </c>
      <c r="AB51" s="62">
        <f>0</f>
        <v>0</v>
      </c>
      <c r="AC51" s="62">
        <f>0</f>
        <v>0</v>
      </c>
      <c r="AD51" s="62">
        <f>0</f>
        <v>0</v>
      </c>
      <c r="AE51" s="62">
        <f>0</f>
        <v>0</v>
      </c>
      <c r="AF51" s="62">
        <f>0</f>
        <v>0</v>
      </c>
      <c r="AG51" s="62">
        <f>0</f>
        <v>0</v>
      </c>
      <c r="AH51" s="62">
        <f>0</f>
        <v>0</v>
      </c>
      <c r="AI51" s="62">
        <f>0</f>
        <v>0</v>
      </c>
      <c r="AJ51" s="62">
        <f>0</f>
        <v>0</v>
      </c>
      <c r="AK51" s="62">
        <f>0</f>
        <v>0</v>
      </c>
      <c r="AL51" s="62">
        <f>0</f>
        <v>0</v>
      </c>
      <c r="AM51" s="63">
        <f>0</f>
        <v>0</v>
      </c>
    </row>
    <row r="52" spans="1:39" ht="39" customHeight="1" outlineLevel="2">
      <c r="A52" s="52" t="s">
        <v>183</v>
      </c>
      <c r="B52" s="39"/>
      <c r="C52" s="623" t="s">
        <v>247</v>
      </c>
      <c r="D52" s="623"/>
      <c r="E52" s="623"/>
      <c r="F52" s="105">
        <f>1703058.84</f>
        <v>1703058.84</v>
      </c>
      <c r="G52" s="59">
        <f>1900411.68</f>
        <v>1900411.68</v>
      </c>
      <c r="H52" s="59">
        <f>870251</f>
        <v>870251</v>
      </c>
      <c r="I52" s="60">
        <f>2766913.15</f>
        <v>2766913.15</v>
      </c>
      <c r="J52" s="61">
        <f>2069179</f>
        <v>2069179</v>
      </c>
      <c r="K52" s="62">
        <f>1537298.3</f>
        <v>1537298.3</v>
      </c>
      <c r="L52" s="62">
        <f>2075515.26</f>
        <v>2075515.26</v>
      </c>
      <c r="M52" s="62">
        <f>2168724.11</f>
        <v>2168724.11</v>
      </c>
      <c r="N52" s="62">
        <f>2274026.25</f>
        <v>2274026.25</v>
      </c>
      <c r="O52" s="62">
        <f>2381472.86</f>
        <v>2381472.86</v>
      </c>
      <c r="P52" s="62">
        <f>2541115.87</f>
        <v>2541115.87</v>
      </c>
      <c r="Q52" s="62">
        <f>2633007.97</f>
        <v>2633007.97</v>
      </c>
      <c r="R52" s="62">
        <f>0</f>
        <v>0</v>
      </c>
      <c r="S52" s="62">
        <f>0</f>
        <v>0</v>
      </c>
      <c r="T52" s="62">
        <f>0</f>
        <v>0</v>
      </c>
      <c r="U52" s="62">
        <f>0</f>
        <v>0</v>
      </c>
      <c r="V52" s="62">
        <f>0</f>
        <v>0</v>
      </c>
      <c r="W52" s="62">
        <f>0</f>
        <v>0</v>
      </c>
      <c r="X52" s="62">
        <f>0</f>
        <v>0</v>
      </c>
      <c r="Y52" s="62">
        <f>0</f>
        <v>0</v>
      </c>
      <c r="Z52" s="62">
        <f>0</f>
        <v>0</v>
      </c>
      <c r="AA52" s="62">
        <f>0</f>
        <v>0</v>
      </c>
      <c r="AB52" s="62">
        <f>0</f>
        <v>0</v>
      </c>
      <c r="AC52" s="62">
        <f>0</f>
        <v>0</v>
      </c>
      <c r="AD52" s="62">
        <f>0</f>
        <v>0</v>
      </c>
      <c r="AE52" s="62">
        <f>0</f>
        <v>0</v>
      </c>
      <c r="AF52" s="62">
        <f>0</f>
        <v>0</v>
      </c>
      <c r="AG52" s="62">
        <f>0</f>
        <v>0</v>
      </c>
      <c r="AH52" s="62">
        <f>0</f>
        <v>0</v>
      </c>
      <c r="AI52" s="62">
        <f>0</f>
        <v>0</v>
      </c>
      <c r="AJ52" s="62">
        <f>0</f>
        <v>0</v>
      </c>
      <c r="AK52" s="62">
        <f>0</f>
        <v>0</v>
      </c>
      <c r="AL52" s="62">
        <f>0</f>
        <v>0</v>
      </c>
      <c r="AM52" s="63">
        <f>0</f>
        <v>0</v>
      </c>
    </row>
    <row r="53" spans="1:40" ht="15" outlineLevel="1">
      <c r="A53" s="51">
        <v>9</v>
      </c>
      <c r="B53" s="625" t="s">
        <v>184</v>
      </c>
      <c r="C53" s="626"/>
      <c r="D53" s="626"/>
      <c r="E53" s="626"/>
      <c r="F53" s="108" t="s">
        <v>31</v>
      </c>
      <c r="G53" s="73" t="s">
        <v>31</v>
      </c>
      <c r="H53" s="73" t="s">
        <v>31</v>
      </c>
      <c r="I53" s="74" t="s">
        <v>31</v>
      </c>
      <c r="J53" s="75" t="s">
        <v>31</v>
      </c>
      <c r="K53" s="76" t="s">
        <v>31</v>
      </c>
      <c r="L53" s="76" t="s">
        <v>31</v>
      </c>
      <c r="M53" s="76" t="s">
        <v>31</v>
      </c>
      <c r="N53" s="76" t="s">
        <v>31</v>
      </c>
      <c r="O53" s="76" t="s">
        <v>31</v>
      </c>
      <c r="P53" s="76" t="s">
        <v>31</v>
      </c>
      <c r="Q53" s="76" t="s">
        <v>31</v>
      </c>
      <c r="R53" s="76" t="s">
        <v>31</v>
      </c>
      <c r="S53" s="76" t="s">
        <v>31</v>
      </c>
      <c r="T53" s="76" t="s">
        <v>31</v>
      </c>
      <c r="U53" s="76" t="s">
        <v>31</v>
      </c>
      <c r="V53" s="76" t="s">
        <v>31</v>
      </c>
      <c r="W53" s="76" t="s">
        <v>31</v>
      </c>
      <c r="X53" s="76" t="s">
        <v>31</v>
      </c>
      <c r="Y53" s="76" t="s">
        <v>31</v>
      </c>
      <c r="Z53" s="76" t="s">
        <v>31</v>
      </c>
      <c r="AA53" s="76" t="s">
        <v>31</v>
      </c>
      <c r="AB53" s="76" t="s">
        <v>31</v>
      </c>
      <c r="AC53" s="76" t="s">
        <v>31</v>
      </c>
      <c r="AD53" s="76" t="s">
        <v>31</v>
      </c>
      <c r="AE53" s="76" t="s">
        <v>31</v>
      </c>
      <c r="AF53" s="76" t="s">
        <v>31</v>
      </c>
      <c r="AG53" s="76" t="s">
        <v>31</v>
      </c>
      <c r="AH53" s="76" t="s">
        <v>31</v>
      </c>
      <c r="AI53" s="76" t="s">
        <v>31</v>
      </c>
      <c r="AJ53" s="76" t="s">
        <v>31</v>
      </c>
      <c r="AK53" s="76" t="s">
        <v>31</v>
      </c>
      <c r="AL53" s="76" t="s">
        <v>31</v>
      </c>
      <c r="AM53" s="77" t="s">
        <v>31</v>
      </c>
      <c r="AN53" s="46"/>
    </row>
    <row r="54" spans="1:39" ht="25.5" customHeight="1" outlineLevel="2">
      <c r="A54" s="52" t="s">
        <v>185</v>
      </c>
      <c r="B54" s="39"/>
      <c r="C54" s="623" t="s">
        <v>246</v>
      </c>
      <c r="D54" s="623"/>
      <c r="E54" s="623"/>
      <c r="F54" s="107">
        <f>0.0727</f>
        <v>0.0727</v>
      </c>
      <c r="G54" s="68">
        <f>0.0904</f>
        <v>0.0904</v>
      </c>
      <c r="H54" s="68">
        <f>0.0754</f>
        <v>0.0754</v>
      </c>
      <c r="I54" s="69">
        <f>0.0729</f>
        <v>0.0729</v>
      </c>
      <c r="J54" s="70">
        <f>0.073</f>
        <v>0.073</v>
      </c>
      <c r="K54" s="71">
        <f>0.0498</f>
        <v>0.0498</v>
      </c>
      <c r="L54" s="71">
        <f>0.0517</f>
        <v>0.0517</v>
      </c>
      <c r="M54" s="71">
        <f>0.0593</f>
        <v>0.0593</v>
      </c>
      <c r="N54" s="71">
        <f>0.0601</f>
        <v>0.0601</v>
      </c>
      <c r="O54" s="71">
        <f>0.0555</f>
        <v>0.0555</v>
      </c>
      <c r="P54" s="71">
        <f>0.0453</f>
        <v>0.0453</v>
      </c>
      <c r="Q54" s="71">
        <f>0.0143</f>
        <v>0.0143</v>
      </c>
      <c r="R54" s="71">
        <f>0</f>
        <v>0</v>
      </c>
      <c r="S54" s="71">
        <f>0</f>
        <v>0</v>
      </c>
      <c r="T54" s="71">
        <f>0</f>
        <v>0</v>
      </c>
      <c r="U54" s="71">
        <f>0</f>
        <v>0</v>
      </c>
      <c r="V54" s="71">
        <f>0</f>
        <v>0</v>
      </c>
      <c r="W54" s="71">
        <f>0</f>
        <v>0</v>
      </c>
      <c r="X54" s="71">
        <f>0</f>
        <v>0</v>
      </c>
      <c r="Y54" s="71">
        <f>0</f>
        <v>0</v>
      </c>
      <c r="Z54" s="71">
        <f>0</f>
        <v>0</v>
      </c>
      <c r="AA54" s="71">
        <f>0</f>
        <v>0</v>
      </c>
      <c r="AB54" s="71">
        <f>0</f>
        <v>0</v>
      </c>
      <c r="AC54" s="71">
        <f>0</f>
        <v>0</v>
      </c>
      <c r="AD54" s="71">
        <f>0</f>
        <v>0</v>
      </c>
      <c r="AE54" s="71">
        <f>0</f>
        <v>0</v>
      </c>
      <c r="AF54" s="71">
        <f>0</f>
        <v>0</v>
      </c>
      <c r="AG54" s="71">
        <f>0</f>
        <v>0</v>
      </c>
      <c r="AH54" s="71">
        <f>0</f>
        <v>0</v>
      </c>
      <c r="AI54" s="71">
        <f>0</f>
        <v>0</v>
      </c>
      <c r="AJ54" s="71">
        <f>0</f>
        <v>0</v>
      </c>
      <c r="AK54" s="71">
        <f>0</f>
        <v>0</v>
      </c>
      <c r="AL54" s="71">
        <f>0</f>
        <v>0</v>
      </c>
      <c r="AM54" s="72">
        <f>0</f>
        <v>0</v>
      </c>
    </row>
    <row r="55" spans="1:39" ht="25.5" customHeight="1" outlineLevel="2">
      <c r="A55" s="52" t="s">
        <v>186</v>
      </c>
      <c r="B55" s="39"/>
      <c r="C55" s="623" t="s">
        <v>248</v>
      </c>
      <c r="D55" s="623"/>
      <c r="E55" s="623"/>
      <c r="F55" s="107">
        <f>0.0727</f>
        <v>0.0727</v>
      </c>
      <c r="G55" s="68">
        <f>0.0904</f>
        <v>0.0904</v>
      </c>
      <c r="H55" s="68">
        <f>0.0754</f>
        <v>0.0754</v>
      </c>
      <c r="I55" s="69">
        <f>0.0729</f>
        <v>0.0729</v>
      </c>
      <c r="J55" s="70">
        <f>0.073</f>
        <v>0.073</v>
      </c>
      <c r="K55" s="71">
        <f>0.0498</f>
        <v>0.0498</v>
      </c>
      <c r="L55" s="71">
        <f>0.0517</f>
        <v>0.0517</v>
      </c>
      <c r="M55" s="71">
        <f>0.0593</f>
        <v>0.0593</v>
      </c>
      <c r="N55" s="71">
        <f>0.0601</f>
        <v>0.0601</v>
      </c>
      <c r="O55" s="71">
        <f>0.0555</f>
        <v>0.0555</v>
      </c>
      <c r="P55" s="71">
        <f>0.0453</f>
        <v>0.0453</v>
      </c>
      <c r="Q55" s="71">
        <f>0.0143</f>
        <v>0.0143</v>
      </c>
      <c r="R55" s="71">
        <f>0</f>
        <v>0</v>
      </c>
      <c r="S55" s="71">
        <f>0</f>
        <v>0</v>
      </c>
      <c r="T55" s="71">
        <f>0</f>
        <v>0</v>
      </c>
      <c r="U55" s="71">
        <f>0</f>
        <v>0</v>
      </c>
      <c r="V55" s="71">
        <f>0</f>
        <v>0</v>
      </c>
      <c r="W55" s="71">
        <f>0</f>
        <v>0</v>
      </c>
      <c r="X55" s="71">
        <f>0</f>
        <v>0</v>
      </c>
      <c r="Y55" s="71">
        <f>0</f>
        <v>0</v>
      </c>
      <c r="Z55" s="71">
        <f>0</f>
        <v>0</v>
      </c>
      <c r="AA55" s="71">
        <f>0</f>
        <v>0</v>
      </c>
      <c r="AB55" s="71">
        <f>0</f>
        <v>0</v>
      </c>
      <c r="AC55" s="71">
        <f>0</f>
        <v>0</v>
      </c>
      <c r="AD55" s="71">
        <f>0</f>
        <v>0</v>
      </c>
      <c r="AE55" s="71">
        <f>0</f>
        <v>0</v>
      </c>
      <c r="AF55" s="71">
        <f>0</f>
        <v>0</v>
      </c>
      <c r="AG55" s="71">
        <f>0</f>
        <v>0</v>
      </c>
      <c r="AH55" s="71">
        <f>0</f>
        <v>0</v>
      </c>
      <c r="AI55" s="71">
        <f>0</f>
        <v>0</v>
      </c>
      <c r="AJ55" s="71">
        <f>0</f>
        <v>0</v>
      </c>
      <c r="AK55" s="71">
        <f>0</f>
        <v>0</v>
      </c>
      <c r="AL55" s="71">
        <f>0</f>
        <v>0</v>
      </c>
      <c r="AM55" s="72">
        <f>0</f>
        <v>0</v>
      </c>
    </row>
    <row r="56" spans="1:39" ht="38.25" customHeight="1" outlineLevel="2">
      <c r="A56" s="52" t="s">
        <v>187</v>
      </c>
      <c r="B56" s="39"/>
      <c r="C56" s="623" t="s">
        <v>250</v>
      </c>
      <c r="D56" s="623"/>
      <c r="E56" s="623"/>
      <c r="F56" s="107">
        <f>0.0727</f>
        <v>0.0727</v>
      </c>
      <c r="G56" s="68">
        <f>0.0904</f>
        <v>0.0904</v>
      </c>
      <c r="H56" s="68">
        <f>0.0754</f>
        <v>0.0754</v>
      </c>
      <c r="I56" s="69">
        <f>0.0729</f>
        <v>0.0729</v>
      </c>
      <c r="J56" s="70">
        <f>0.073</f>
        <v>0.073</v>
      </c>
      <c r="K56" s="71">
        <f>0.0498</f>
        <v>0.0498</v>
      </c>
      <c r="L56" s="71">
        <f>0.0517</f>
        <v>0.0517</v>
      </c>
      <c r="M56" s="71">
        <f>0.0593</f>
        <v>0.0593</v>
      </c>
      <c r="N56" s="71">
        <f>0.0601</f>
        <v>0.0601</v>
      </c>
      <c r="O56" s="71">
        <f>0.0555</f>
        <v>0.0555</v>
      </c>
      <c r="P56" s="71">
        <f>0.0453</f>
        <v>0.0453</v>
      </c>
      <c r="Q56" s="71">
        <f>0.0143</f>
        <v>0.0143</v>
      </c>
      <c r="R56" s="71">
        <f>0</f>
        <v>0</v>
      </c>
      <c r="S56" s="71">
        <f>0</f>
        <v>0</v>
      </c>
      <c r="T56" s="71">
        <f>0</f>
        <v>0</v>
      </c>
      <c r="U56" s="71">
        <f>0</f>
        <v>0</v>
      </c>
      <c r="V56" s="71">
        <f>0</f>
        <v>0</v>
      </c>
      <c r="W56" s="71">
        <f>0</f>
        <v>0</v>
      </c>
      <c r="X56" s="71">
        <f>0</f>
        <v>0</v>
      </c>
      <c r="Y56" s="71">
        <f>0</f>
        <v>0</v>
      </c>
      <c r="Z56" s="71">
        <f>0</f>
        <v>0</v>
      </c>
      <c r="AA56" s="71">
        <f>0</f>
        <v>0</v>
      </c>
      <c r="AB56" s="71">
        <f>0</f>
        <v>0</v>
      </c>
      <c r="AC56" s="71">
        <f>0</f>
        <v>0</v>
      </c>
      <c r="AD56" s="71">
        <f>0</f>
        <v>0</v>
      </c>
      <c r="AE56" s="71">
        <f>0</f>
        <v>0</v>
      </c>
      <c r="AF56" s="71">
        <f>0</f>
        <v>0</v>
      </c>
      <c r="AG56" s="71">
        <f>0</f>
        <v>0</v>
      </c>
      <c r="AH56" s="71">
        <f>0</f>
        <v>0</v>
      </c>
      <c r="AI56" s="71">
        <f>0</f>
        <v>0</v>
      </c>
      <c r="AJ56" s="71">
        <f>0</f>
        <v>0</v>
      </c>
      <c r="AK56" s="71">
        <f>0</f>
        <v>0</v>
      </c>
      <c r="AL56" s="71">
        <f>0</f>
        <v>0</v>
      </c>
      <c r="AM56" s="72">
        <f>0</f>
        <v>0</v>
      </c>
    </row>
    <row r="57" spans="1:39" ht="38.25" customHeight="1" outlineLevel="2">
      <c r="A57" s="52" t="s">
        <v>188</v>
      </c>
      <c r="B57" s="39"/>
      <c r="C57" s="623" t="s">
        <v>249</v>
      </c>
      <c r="D57" s="623"/>
      <c r="E57" s="623"/>
      <c r="F57" s="107">
        <f>0.0727</f>
        <v>0.0727</v>
      </c>
      <c r="G57" s="68">
        <f>0.0904</f>
        <v>0.0904</v>
      </c>
      <c r="H57" s="68">
        <f>0.0754</f>
        <v>0.0754</v>
      </c>
      <c r="I57" s="69">
        <f>0.0729</f>
        <v>0.0729</v>
      </c>
      <c r="J57" s="70">
        <f>0.073</f>
        <v>0.073</v>
      </c>
      <c r="K57" s="71">
        <f>0.0498</f>
        <v>0.0498</v>
      </c>
      <c r="L57" s="71">
        <f>0.0517</f>
        <v>0.0517</v>
      </c>
      <c r="M57" s="71">
        <f>0.0593</f>
        <v>0.0593</v>
      </c>
      <c r="N57" s="71">
        <f>0.0601</f>
        <v>0.0601</v>
      </c>
      <c r="O57" s="71">
        <f>0.0555</f>
        <v>0.0555</v>
      </c>
      <c r="P57" s="71">
        <f>0.0453</f>
        <v>0.0453</v>
      </c>
      <c r="Q57" s="71">
        <f>0.0143</f>
        <v>0.0143</v>
      </c>
      <c r="R57" s="71">
        <f>0</f>
        <v>0</v>
      </c>
      <c r="S57" s="71">
        <f>0</f>
        <v>0</v>
      </c>
      <c r="T57" s="71">
        <f>0</f>
        <v>0</v>
      </c>
      <c r="U57" s="71">
        <f>0</f>
        <v>0</v>
      </c>
      <c r="V57" s="71">
        <f>0</f>
        <v>0</v>
      </c>
      <c r="W57" s="71">
        <f>0</f>
        <v>0</v>
      </c>
      <c r="X57" s="71">
        <f>0</f>
        <v>0</v>
      </c>
      <c r="Y57" s="71">
        <f>0</f>
        <v>0</v>
      </c>
      <c r="Z57" s="71">
        <f>0</f>
        <v>0</v>
      </c>
      <c r="AA57" s="71">
        <f>0</f>
        <v>0</v>
      </c>
      <c r="AB57" s="71">
        <f>0</f>
        <v>0</v>
      </c>
      <c r="AC57" s="71">
        <f>0</f>
        <v>0</v>
      </c>
      <c r="AD57" s="71">
        <f>0</f>
        <v>0</v>
      </c>
      <c r="AE57" s="71">
        <f>0</f>
        <v>0</v>
      </c>
      <c r="AF57" s="71">
        <f>0</f>
        <v>0</v>
      </c>
      <c r="AG57" s="71">
        <f>0</f>
        <v>0</v>
      </c>
      <c r="AH57" s="71">
        <f>0</f>
        <v>0</v>
      </c>
      <c r="AI57" s="71">
        <f>0</f>
        <v>0</v>
      </c>
      <c r="AJ57" s="71">
        <f>0</f>
        <v>0</v>
      </c>
      <c r="AK57" s="71">
        <f>0</f>
        <v>0</v>
      </c>
      <c r="AL57" s="71">
        <f>0</f>
        <v>0</v>
      </c>
      <c r="AM57" s="72">
        <f>0</f>
        <v>0</v>
      </c>
    </row>
    <row r="58" spans="1:39" ht="25.5" customHeight="1" outlineLevel="2">
      <c r="A58" s="52" t="s">
        <v>189</v>
      </c>
      <c r="B58" s="39"/>
      <c r="C58" s="623" t="s">
        <v>251</v>
      </c>
      <c r="D58" s="623"/>
      <c r="E58" s="623"/>
      <c r="F58" s="105">
        <f>0</f>
        <v>0</v>
      </c>
      <c r="G58" s="59">
        <f>0</f>
        <v>0</v>
      </c>
      <c r="H58" s="59">
        <f>0</f>
        <v>0</v>
      </c>
      <c r="I58" s="60">
        <f>0</f>
        <v>0</v>
      </c>
      <c r="J58" s="61">
        <f>0</f>
        <v>0</v>
      </c>
      <c r="K58" s="62">
        <f>0</f>
        <v>0</v>
      </c>
      <c r="L58" s="62">
        <f>0</f>
        <v>0</v>
      </c>
      <c r="M58" s="62">
        <f>0</f>
        <v>0</v>
      </c>
      <c r="N58" s="62">
        <f>0</f>
        <v>0</v>
      </c>
      <c r="O58" s="62">
        <f>0</f>
        <v>0</v>
      </c>
      <c r="P58" s="62">
        <f>0</f>
        <v>0</v>
      </c>
      <c r="Q58" s="62">
        <f>0</f>
        <v>0</v>
      </c>
      <c r="R58" s="62">
        <f>0</f>
        <v>0</v>
      </c>
      <c r="S58" s="62">
        <f>0</f>
        <v>0</v>
      </c>
      <c r="T58" s="62">
        <f>0</f>
        <v>0</v>
      </c>
      <c r="U58" s="62">
        <f>0</f>
        <v>0</v>
      </c>
      <c r="V58" s="62">
        <f>0</f>
        <v>0</v>
      </c>
      <c r="W58" s="62">
        <f>0</f>
        <v>0</v>
      </c>
      <c r="X58" s="62">
        <f>0</f>
        <v>0</v>
      </c>
      <c r="Y58" s="62">
        <f>0</f>
        <v>0</v>
      </c>
      <c r="Z58" s="62">
        <f>0</f>
        <v>0</v>
      </c>
      <c r="AA58" s="62">
        <f>0</f>
        <v>0</v>
      </c>
      <c r="AB58" s="62">
        <f>0</f>
        <v>0</v>
      </c>
      <c r="AC58" s="62">
        <f>0</f>
        <v>0</v>
      </c>
      <c r="AD58" s="62">
        <f>0</f>
        <v>0</v>
      </c>
      <c r="AE58" s="62">
        <f>0</f>
        <v>0</v>
      </c>
      <c r="AF58" s="62">
        <f>0</f>
        <v>0</v>
      </c>
      <c r="AG58" s="62">
        <f>0</f>
        <v>0</v>
      </c>
      <c r="AH58" s="62">
        <f>0</f>
        <v>0</v>
      </c>
      <c r="AI58" s="62">
        <f>0</f>
        <v>0</v>
      </c>
      <c r="AJ58" s="62">
        <f>0</f>
        <v>0</v>
      </c>
      <c r="AK58" s="62">
        <f>0</f>
        <v>0</v>
      </c>
      <c r="AL58" s="62">
        <f>0</f>
        <v>0</v>
      </c>
      <c r="AM58" s="63">
        <f>0</f>
        <v>0</v>
      </c>
    </row>
    <row r="59" spans="1:39" ht="38.25" customHeight="1" outlineLevel="2">
      <c r="A59" s="52" t="s">
        <v>190</v>
      </c>
      <c r="B59" s="39"/>
      <c r="C59" s="623" t="s">
        <v>252</v>
      </c>
      <c r="D59" s="623"/>
      <c r="E59" s="623"/>
      <c r="F59" s="107">
        <f>0.0727</f>
        <v>0.0727</v>
      </c>
      <c r="G59" s="68">
        <f>0.0904</f>
        <v>0.0904</v>
      </c>
      <c r="H59" s="68">
        <f>0.0754</f>
        <v>0.0754</v>
      </c>
      <c r="I59" s="69">
        <f>0.0729</f>
        <v>0.0729</v>
      </c>
      <c r="J59" s="70">
        <f>0.073</f>
        <v>0.073</v>
      </c>
      <c r="K59" s="71">
        <f>0.0498</f>
        <v>0.0498</v>
      </c>
      <c r="L59" s="71">
        <f>0.0517</f>
        <v>0.0517</v>
      </c>
      <c r="M59" s="71">
        <f>0.0593</f>
        <v>0.0593</v>
      </c>
      <c r="N59" s="71">
        <f>0.0601</f>
        <v>0.0601</v>
      </c>
      <c r="O59" s="71">
        <f>0.0555</f>
        <v>0.0555</v>
      </c>
      <c r="P59" s="71">
        <f>0.0453</f>
        <v>0.0453</v>
      </c>
      <c r="Q59" s="71">
        <f>0.0143</f>
        <v>0.0143</v>
      </c>
      <c r="R59" s="71">
        <f>0</f>
        <v>0</v>
      </c>
      <c r="S59" s="71">
        <f>0</f>
        <v>0</v>
      </c>
      <c r="T59" s="71">
        <f>0</f>
        <v>0</v>
      </c>
      <c r="U59" s="71">
        <f>0</f>
        <v>0</v>
      </c>
      <c r="V59" s="71">
        <f>0</f>
        <v>0</v>
      </c>
      <c r="W59" s="71">
        <f>0</f>
        <v>0</v>
      </c>
      <c r="X59" s="71">
        <f>0</f>
        <v>0</v>
      </c>
      <c r="Y59" s="71">
        <f>0</f>
        <v>0</v>
      </c>
      <c r="Z59" s="71">
        <f>0</f>
        <v>0</v>
      </c>
      <c r="AA59" s="71">
        <f>0</f>
        <v>0</v>
      </c>
      <c r="AB59" s="71">
        <f>0</f>
        <v>0</v>
      </c>
      <c r="AC59" s="71">
        <f>0</f>
        <v>0</v>
      </c>
      <c r="AD59" s="71">
        <f>0</f>
        <v>0</v>
      </c>
      <c r="AE59" s="71">
        <f>0</f>
        <v>0</v>
      </c>
      <c r="AF59" s="71">
        <f>0</f>
        <v>0</v>
      </c>
      <c r="AG59" s="71">
        <f>0</f>
        <v>0</v>
      </c>
      <c r="AH59" s="71">
        <f>0</f>
        <v>0</v>
      </c>
      <c r="AI59" s="71">
        <f>0</f>
        <v>0</v>
      </c>
      <c r="AJ59" s="71">
        <f>0</f>
        <v>0</v>
      </c>
      <c r="AK59" s="71">
        <f>0</f>
        <v>0</v>
      </c>
      <c r="AL59" s="71">
        <f>0</f>
        <v>0</v>
      </c>
      <c r="AM59" s="72">
        <f>0</f>
        <v>0</v>
      </c>
    </row>
    <row r="60" spans="1:40" ht="15" customHeight="1" outlineLevel="3">
      <c r="A60" s="185" t="s">
        <v>107</v>
      </c>
      <c r="B60" s="416"/>
      <c r="C60" s="187"/>
      <c r="D60" s="427" t="s">
        <v>467</v>
      </c>
      <c r="E60" s="186"/>
      <c r="F60" s="107">
        <f>+IF(F10&lt;&gt;0,(F11+F19-F22)/F10,0)</f>
        <v>0.06262161531004169</v>
      </c>
      <c r="G60" s="68">
        <f>+IF(G10&lt;&gt;0,(G11+G19-G22)/G10,0)</f>
        <v>0.091417154746206</v>
      </c>
      <c r="H60" s="68">
        <f>+IF(H10&lt;&gt;0,(H11+H19-H22)/H10,0)</f>
        <v>0.010680377918999411</v>
      </c>
      <c r="I60" s="69">
        <f>+IF(I10&lt;&gt;0,(I11+I19-I22)/I10,0)</f>
        <v>0.0942190553324752</v>
      </c>
      <c r="J60" s="70">
        <f>+IF(J10&lt;&gt;0,(J11+J19-J22)/J10,0)</f>
        <v>0.047712302366022766</v>
      </c>
      <c r="K60" s="71">
        <f aca="true" t="shared" si="0" ref="K60:AM60">+IF(K10&lt;&gt;0,(K11+K19-K22)/K10,0)</f>
        <v>0.07327716501421254</v>
      </c>
      <c r="L60" s="71">
        <f t="shared" si="0"/>
        <v>0.09608426380301516</v>
      </c>
      <c r="M60" s="71">
        <f t="shared" si="0"/>
        <v>0.09739712064087748</v>
      </c>
      <c r="N60" s="71">
        <f t="shared" si="0"/>
        <v>0.09838117245841732</v>
      </c>
      <c r="O60" s="71">
        <f t="shared" si="0"/>
        <v>0.09916230407551314</v>
      </c>
      <c r="P60" s="71">
        <f t="shared" si="0"/>
        <v>0.10183800749715904</v>
      </c>
      <c r="Q60" s="71">
        <f t="shared" si="0"/>
        <v>0.10155985012354145</v>
      </c>
      <c r="R60" s="71">
        <f t="shared" si="0"/>
        <v>0</v>
      </c>
      <c r="S60" s="71">
        <f t="shared" si="0"/>
        <v>0</v>
      </c>
      <c r="T60" s="71">
        <f t="shared" si="0"/>
        <v>0</v>
      </c>
      <c r="U60" s="71">
        <f t="shared" si="0"/>
        <v>0</v>
      </c>
      <c r="V60" s="71">
        <f t="shared" si="0"/>
        <v>0</v>
      </c>
      <c r="W60" s="71">
        <f t="shared" si="0"/>
        <v>0</v>
      </c>
      <c r="X60" s="71">
        <f t="shared" si="0"/>
        <v>0</v>
      </c>
      <c r="Y60" s="71">
        <f t="shared" si="0"/>
        <v>0</v>
      </c>
      <c r="Z60" s="71">
        <f t="shared" si="0"/>
        <v>0</v>
      </c>
      <c r="AA60" s="71">
        <f t="shared" si="0"/>
        <v>0</v>
      </c>
      <c r="AB60" s="71">
        <f t="shared" si="0"/>
        <v>0</v>
      </c>
      <c r="AC60" s="71">
        <f t="shared" si="0"/>
        <v>0</v>
      </c>
      <c r="AD60" s="71">
        <f t="shared" si="0"/>
        <v>0</v>
      </c>
      <c r="AE60" s="71">
        <f t="shared" si="0"/>
        <v>0</v>
      </c>
      <c r="AF60" s="71">
        <f t="shared" si="0"/>
        <v>0</v>
      </c>
      <c r="AG60" s="71">
        <f t="shared" si="0"/>
        <v>0</v>
      </c>
      <c r="AH60" s="71">
        <f t="shared" si="0"/>
        <v>0</v>
      </c>
      <c r="AI60" s="71">
        <f t="shared" si="0"/>
        <v>0</v>
      </c>
      <c r="AJ60" s="71">
        <f t="shared" si="0"/>
        <v>0</v>
      </c>
      <c r="AK60" s="71">
        <f t="shared" si="0"/>
        <v>0</v>
      </c>
      <c r="AL60" s="71">
        <f t="shared" si="0"/>
        <v>0</v>
      </c>
      <c r="AM60" s="72">
        <f t="shared" si="0"/>
        <v>0</v>
      </c>
      <c r="AN60" s="90"/>
    </row>
    <row r="61" spans="1:40" ht="38.25" customHeight="1" outlineLevel="2">
      <c r="A61" s="52" t="s">
        <v>191</v>
      </c>
      <c r="B61" s="39"/>
      <c r="C61" s="623" t="s">
        <v>253</v>
      </c>
      <c r="D61" s="623"/>
      <c r="E61" s="623"/>
      <c r="F61" s="107">
        <f>0</f>
        <v>0</v>
      </c>
      <c r="G61" s="68">
        <f>0</f>
        <v>0</v>
      </c>
      <c r="H61" s="68">
        <f>0</f>
        <v>0</v>
      </c>
      <c r="I61" s="69">
        <f>0</f>
        <v>0</v>
      </c>
      <c r="J61" s="70">
        <f>0.0549</f>
        <v>0.0549</v>
      </c>
      <c r="K61" s="71">
        <f>0.0499</f>
        <v>0.0499</v>
      </c>
      <c r="L61" s="71">
        <f>0.0439</f>
        <v>0.0439</v>
      </c>
      <c r="M61" s="71">
        <f>0.0724</f>
        <v>0.0724</v>
      </c>
      <c r="N61" s="71">
        <f>0.0889</f>
        <v>0.0889</v>
      </c>
      <c r="O61" s="71">
        <f>0.0973</f>
        <v>0.0973</v>
      </c>
      <c r="P61" s="71">
        <f>0.0983</f>
        <v>0.0983</v>
      </c>
      <c r="Q61" s="71">
        <f>0.0998</f>
        <v>0.0998</v>
      </c>
      <c r="R61" s="71">
        <f>0</f>
        <v>0</v>
      </c>
      <c r="S61" s="71">
        <f>0</f>
        <v>0</v>
      </c>
      <c r="T61" s="71">
        <f>0</f>
        <v>0</v>
      </c>
      <c r="U61" s="71">
        <f>0</f>
        <v>0</v>
      </c>
      <c r="V61" s="71">
        <f>0</f>
        <v>0</v>
      </c>
      <c r="W61" s="71">
        <f>0</f>
        <v>0</v>
      </c>
      <c r="X61" s="71">
        <f>0</f>
        <v>0</v>
      </c>
      <c r="Y61" s="71">
        <f>0</f>
        <v>0</v>
      </c>
      <c r="Z61" s="71">
        <f>0</f>
        <v>0</v>
      </c>
      <c r="AA61" s="71">
        <f>0</f>
        <v>0</v>
      </c>
      <c r="AB61" s="71">
        <f>0</f>
        <v>0</v>
      </c>
      <c r="AC61" s="71">
        <f>0</f>
        <v>0</v>
      </c>
      <c r="AD61" s="71">
        <f>0</f>
        <v>0</v>
      </c>
      <c r="AE61" s="71">
        <f>0</f>
        <v>0</v>
      </c>
      <c r="AF61" s="71">
        <f>0</f>
        <v>0</v>
      </c>
      <c r="AG61" s="71">
        <f>0</f>
        <v>0</v>
      </c>
      <c r="AH61" s="71">
        <f>0</f>
        <v>0</v>
      </c>
      <c r="AI61" s="71">
        <f>0</f>
        <v>0</v>
      </c>
      <c r="AJ61" s="71">
        <f>0</f>
        <v>0</v>
      </c>
      <c r="AK61" s="71">
        <f>0</f>
        <v>0</v>
      </c>
      <c r="AL61" s="71">
        <f>0</f>
        <v>0</v>
      </c>
      <c r="AM61" s="72">
        <f>0</f>
        <v>0</v>
      </c>
      <c r="AN61" s="90"/>
    </row>
    <row r="62" spans="1:39" ht="38.25" customHeight="1" outlineLevel="2">
      <c r="A62" s="52" t="s">
        <v>110</v>
      </c>
      <c r="B62" s="39"/>
      <c r="C62" s="40"/>
      <c r="D62" s="623" t="s">
        <v>254</v>
      </c>
      <c r="E62" s="623"/>
      <c r="F62" s="107">
        <f>0</f>
        <v>0</v>
      </c>
      <c r="G62" s="68">
        <f>0</f>
        <v>0</v>
      </c>
      <c r="H62" s="68">
        <f>0</f>
        <v>0</v>
      </c>
      <c r="I62" s="69">
        <f>0</f>
        <v>0</v>
      </c>
      <c r="J62" s="70">
        <f>0.0827</f>
        <v>0.0827</v>
      </c>
      <c r="K62" s="71">
        <f>0.0778</f>
        <v>0.0778</v>
      </c>
      <c r="L62" s="71">
        <f>0.0717</f>
        <v>0.0717</v>
      </c>
      <c r="M62" s="71">
        <f>0.0724</f>
        <v>0.0724</v>
      </c>
      <c r="N62" s="71">
        <f>0.0889</f>
        <v>0.0889</v>
      </c>
      <c r="O62" s="71">
        <f>0.0973</f>
        <v>0.0973</v>
      </c>
      <c r="P62" s="71">
        <f>0.0983</f>
        <v>0.0983</v>
      </c>
      <c r="Q62" s="71">
        <f>0.0998</f>
        <v>0.0998</v>
      </c>
      <c r="R62" s="71">
        <f>0</f>
        <v>0</v>
      </c>
      <c r="S62" s="71">
        <f>0</f>
        <v>0</v>
      </c>
      <c r="T62" s="71">
        <f>0</f>
        <v>0</v>
      </c>
      <c r="U62" s="71">
        <f>0</f>
        <v>0</v>
      </c>
      <c r="V62" s="71">
        <f>0</f>
        <v>0</v>
      </c>
      <c r="W62" s="71">
        <f>0</f>
        <v>0</v>
      </c>
      <c r="X62" s="71">
        <f>0</f>
        <v>0</v>
      </c>
      <c r="Y62" s="71">
        <f>0</f>
        <v>0</v>
      </c>
      <c r="Z62" s="71">
        <f>0</f>
        <v>0</v>
      </c>
      <c r="AA62" s="71">
        <f>0</f>
        <v>0</v>
      </c>
      <c r="AB62" s="71">
        <f>0</f>
        <v>0</v>
      </c>
      <c r="AC62" s="71">
        <f>0</f>
        <v>0</v>
      </c>
      <c r="AD62" s="71">
        <f>0</f>
        <v>0</v>
      </c>
      <c r="AE62" s="71">
        <f>0</f>
        <v>0</v>
      </c>
      <c r="AF62" s="71">
        <f>0</f>
        <v>0</v>
      </c>
      <c r="AG62" s="71">
        <f>0</f>
        <v>0</v>
      </c>
      <c r="AH62" s="71">
        <f>0</f>
        <v>0</v>
      </c>
      <c r="AI62" s="71">
        <f>0</f>
        <v>0</v>
      </c>
      <c r="AJ62" s="71">
        <f>0</f>
        <v>0</v>
      </c>
      <c r="AK62" s="71">
        <f>0</f>
        <v>0</v>
      </c>
      <c r="AL62" s="71">
        <f>0</f>
        <v>0</v>
      </c>
      <c r="AM62" s="72">
        <f>0</f>
        <v>0</v>
      </c>
    </row>
    <row r="63" spans="1:39" ht="49.5" customHeight="1" outlineLevel="2">
      <c r="A63" s="52" t="s">
        <v>192</v>
      </c>
      <c r="B63" s="39"/>
      <c r="C63" s="623" t="s">
        <v>256</v>
      </c>
      <c r="D63" s="623"/>
      <c r="E63" s="623"/>
      <c r="F63" s="108" t="s">
        <v>31</v>
      </c>
      <c r="G63" s="73" t="s">
        <v>31</v>
      </c>
      <c r="H63" s="73" t="s">
        <v>31</v>
      </c>
      <c r="I63" s="74" t="s">
        <v>31</v>
      </c>
      <c r="J63" s="417" t="str">
        <f>IF(J59&lt;=J61,"Spełniona","Nie spełniona")</f>
        <v>Nie spełniona</v>
      </c>
      <c r="K63" s="418" t="str">
        <f aca="true" t="shared" si="1" ref="K63:AM63">IF(K59&lt;=K61,"Spełniona","Nie spełniona")</f>
        <v>Spełniona</v>
      </c>
      <c r="L63" s="418" t="str">
        <f t="shared" si="1"/>
        <v>Nie spełniona</v>
      </c>
      <c r="M63" s="418" t="str">
        <f t="shared" si="1"/>
        <v>Spełniona</v>
      </c>
      <c r="N63" s="418" t="str">
        <f t="shared" si="1"/>
        <v>Spełniona</v>
      </c>
      <c r="O63" s="418" t="str">
        <f t="shared" si="1"/>
        <v>Spełniona</v>
      </c>
      <c r="P63" s="418" t="str">
        <f t="shared" si="1"/>
        <v>Spełniona</v>
      </c>
      <c r="Q63" s="418" t="str">
        <f t="shared" si="1"/>
        <v>Spełniona</v>
      </c>
      <c r="R63" s="418" t="str">
        <f t="shared" si="1"/>
        <v>Spełniona</v>
      </c>
      <c r="S63" s="418" t="str">
        <f t="shared" si="1"/>
        <v>Spełniona</v>
      </c>
      <c r="T63" s="418" t="str">
        <f t="shared" si="1"/>
        <v>Spełniona</v>
      </c>
      <c r="U63" s="418" t="str">
        <f t="shared" si="1"/>
        <v>Spełniona</v>
      </c>
      <c r="V63" s="418" t="str">
        <f t="shared" si="1"/>
        <v>Spełniona</v>
      </c>
      <c r="W63" s="418" t="str">
        <f t="shared" si="1"/>
        <v>Spełniona</v>
      </c>
      <c r="X63" s="418" t="str">
        <f t="shared" si="1"/>
        <v>Spełniona</v>
      </c>
      <c r="Y63" s="418" t="str">
        <f t="shared" si="1"/>
        <v>Spełniona</v>
      </c>
      <c r="Z63" s="418" t="str">
        <f t="shared" si="1"/>
        <v>Spełniona</v>
      </c>
      <c r="AA63" s="418" t="str">
        <f t="shared" si="1"/>
        <v>Spełniona</v>
      </c>
      <c r="AB63" s="418" t="str">
        <f t="shared" si="1"/>
        <v>Spełniona</v>
      </c>
      <c r="AC63" s="418" t="str">
        <f t="shared" si="1"/>
        <v>Spełniona</v>
      </c>
      <c r="AD63" s="418" t="str">
        <f t="shared" si="1"/>
        <v>Spełniona</v>
      </c>
      <c r="AE63" s="418" t="str">
        <f t="shared" si="1"/>
        <v>Spełniona</v>
      </c>
      <c r="AF63" s="418" t="str">
        <f t="shared" si="1"/>
        <v>Spełniona</v>
      </c>
      <c r="AG63" s="418" t="str">
        <f t="shared" si="1"/>
        <v>Spełniona</v>
      </c>
      <c r="AH63" s="418" t="str">
        <f t="shared" si="1"/>
        <v>Spełniona</v>
      </c>
      <c r="AI63" s="418" t="str">
        <f t="shared" si="1"/>
        <v>Spełniona</v>
      </c>
      <c r="AJ63" s="418" t="str">
        <f t="shared" si="1"/>
        <v>Spełniona</v>
      </c>
      <c r="AK63" s="418" t="str">
        <f t="shared" si="1"/>
        <v>Spełniona</v>
      </c>
      <c r="AL63" s="418" t="str">
        <f t="shared" si="1"/>
        <v>Spełniona</v>
      </c>
      <c r="AM63" s="419" t="str">
        <f t="shared" si="1"/>
        <v>Spełniona</v>
      </c>
    </row>
    <row r="64" spans="1:39" ht="49.5" customHeight="1" outlineLevel="2">
      <c r="A64" s="52" t="s">
        <v>113</v>
      </c>
      <c r="B64" s="39"/>
      <c r="C64" s="40"/>
      <c r="D64" s="623" t="s">
        <v>255</v>
      </c>
      <c r="E64" s="623"/>
      <c r="F64" s="108" t="s">
        <v>31</v>
      </c>
      <c r="G64" s="73" t="s">
        <v>31</v>
      </c>
      <c r="H64" s="73" t="s">
        <v>31</v>
      </c>
      <c r="I64" s="74" t="s">
        <v>31</v>
      </c>
      <c r="J64" s="417" t="str">
        <f>IF(J59&lt;=J62,"Spełniona","Nie spełniona")</f>
        <v>Spełniona</v>
      </c>
      <c r="K64" s="418" t="str">
        <f aca="true" t="shared" si="2" ref="K64:AM64">IF(K59&lt;=K62,"Spełniona","Nie spełniona")</f>
        <v>Spełniona</v>
      </c>
      <c r="L64" s="418" t="str">
        <f t="shared" si="2"/>
        <v>Spełniona</v>
      </c>
      <c r="M64" s="418" t="str">
        <f t="shared" si="2"/>
        <v>Spełniona</v>
      </c>
      <c r="N64" s="418" t="str">
        <f t="shared" si="2"/>
        <v>Spełniona</v>
      </c>
      <c r="O64" s="418" t="str">
        <f t="shared" si="2"/>
        <v>Spełniona</v>
      </c>
      <c r="P64" s="418" t="str">
        <f t="shared" si="2"/>
        <v>Spełniona</v>
      </c>
      <c r="Q64" s="418" t="str">
        <f t="shared" si="2"/>
        <v>Spełniona</v>
      </c>
      <c r="R64" s="418" t="str">
        <f t="shared" si="2"/>
        <v>Spełniona</v>
      </c>
      <c r="S64" s="418" t="str">
        <f t="shared" si="2"/>
        <v>Spełniona</v>
      </c>
      <c r="T64" s="418" t="str">
        <f t="shared" si="2"/>
        <v>Spełniona</v>
      </c>
      <c r="U64" s="418" t="str">
        <f t="shared" si="2"/>
        <v>Spełniona</v>
      </c>
      <c r="V64" s="418" t="str">
        <f t="shared" si="2"/>
        <v>Spełniona</v>
      </c>
      <c r="W64" s="418" t="str">
        <f t="shared" si="2"/>
        <v>Spełniona</v>
      </c>
      <c r="X64" s="418" t="str">
        <f t="shared" si="2"/>
        <v>Spełniona</v>
      </c>
      <c r="Y64" s="418" t="str">
        <f t="shared" si="2"/>
        <v>Spełniona</v>
      </c>
      <c r="Z64" s="418" t="str">
        <f t="shared" si="2"/>
        <v>Spełniona</v>
      </c>
      <c r="AA64" s="418" t="str">
        <f t="shared" si="2"/>
        <v>Spełniona</v>
      </c>
      <c r="AB64" s="418" t="str">
        <f t="shared" si="2"/>
        <v>Spełniona</v>
      </c>
      <c r="AC64" s="418" t="str">
        <f t="shared" si="2"/>
        <v>Spełniona</v>
      </c>
      <c r="AD64" s="418" t="str">
        <f t="shared" si="2"/>
        <v>Spełniona</v>
      </c>
      <c r="AE64" s="418" t="str">
        <f t="shared" si="2"/>
        <v>Spełniona</v>
      </c>
      <c r="AF64" s="418" t="str">
        <f t="shared" si="2"/>
        <v>Spełniona</v>
      </c>
      <c r="AG64" s="418" t="str">
        <f t="shared" si="2"/>
        <v>Spełniona</v>
      </c>
      <c r="AH64" s="418" t="str">
        <f t="shared" si="2"/>
        <v>Spełniona</v>
      </c>
      <c r="AI64" s="418" t="str">
        <f t="shared" si="2"/>
        <v>Spełniona</v>
      </c>
      <c r="AJ64" s="418" t="str">
        <f t="shared" si="2"/>
        <v>Spełniona</v>
      </c>
      <c r="AK64" s="418" t="str">
        <f t="shared" si="2"/>
        <v>Spełniona</v>
      </c>
      <c r="AL64" s="418" t="str">
        <f t="shared" si="2"/>
        <v>Spełniona</v>
      </c>
      <c r="AM64" s="419" t="str">
        <f t="shared" si="2"/>
        <v>Spełniona</v>
      </c>
    </row>
    <row r="65" spans="1:40" ht="15" customHeight="1" outlineLevel="1">
      <c r="A65" s="51">
        <v>10</v>
      </c>
      <c r="B65" s="625" t="s">
        <v>257</v>
      </c>
      <c r="C65" s="626"/>
      <c r="D65" s="626"/>
      <c r="E65" s="626"/>
      <c r="F65" s="104">
        <f>0</f>
        <v>0</v>
      </c>
      <c r="G65" s="54">
        <f>0</f>
        <v>0</v>
      </c>
      <c r="H65" s="54">
        <f>0</f>
        <v>0</v>
      </c>
      <c r="I65" s="55">
        <f>0</f>
        <v>0</v>
      </c>
      <c r="J65" s="56">
        <f>0</f>
        <v>0</v>
      </c>
      <c r="K65" s="57">
        <f>207298.3</f>
        <v>207298.3</v>
      </c>
      <c r="L65" s="57">
        <f>826000</f>
        <v>826000</v>
      </c>
      <c r="M65" s="57">
        <f>1050000</f>
        <v>1050000</v>
      </c>
      <c r="N65" s="57">
        <f>1150000</f>
        <v>1150000</v>
      </c>
      <c r="O65" s="57">
        <f>1123921</f>
        <v>1123921</v>
      </c>
      <c r="P65" s="57">
        <f>1000000</f>
        <v>1000000</v>
      </c>
      <c r="Q65" s="57">
        <f>249496.46</f>
        <v>249496.46</v>
      </c>
      <c r="R65" s="57">
        <f>0</f>
        <v>0</v>
      </c>
      <c r="S65" s="57">
        <f>0</f>
        <v>0</v>
      </c>
      <c r="T65" s="57">
        <f>0</f>
        <v>0</v>
      </c>
      <c r="U65" s="57">
        <f>0</f>
        <v>0</v>
      </c>
      <c r="V65" s="57">
        <f>0</f>
        <v>0</v>
      </c>
      <c r="W65" s="57">
        <f>0</f>
        <v>0</v>
      </c>
      <c r="X65" s="57">
        <f>0</f>
        <v>0</v>
      </c>
      <c r="Y65" s="57">
        <f>0</f>
        <v>0</v>
      </c>
      <c r="Z65" s="57">
        <f>0</f>
        <v>0</v>
      </c>
      <c r="AA65" s="57">
        <f>0</f>
        <v>0</v>
      </c>
      <c r="AB65" s="57">
        <f>0</f>
        <v>0</v>
      </c>
      <c r="AC65" s="57">
        <f>0</f>
        <v>0</v>
      </c>
      <c r="AD65" s="57">
        <f>0</f>
        <v>0</v>
      </c>
      <c r="AE65" s="57">
        <f>0</f>
        <v>0</v>
      </c>
      <c r="AF65" s="57">
        <f>0</f>
        <v>0</v>
      </c>
      <c r="AG65" s="57">
        <f>0</f>
        <v>0</v>
      </c>
      <c r="AH65" s="57">
        <f>0</f>
        <v>0</v>
      </c>
      <c r="AI65" s="57">
        <f>0</f>
        <v>0</v>
      </c>
      <c r="AJ65" s="57">
        <f>0</f>
        <v>0</v>
      </c>
      <c r="AK65" s="57">
        <f>0</f>
        <v>0</v>
      </c>
      <c r="AL65" s="57">
        <f>0</f>
        <v>0</v>
      </c>
      <c r="AM65" s="58">
        <f>0</f>
        <v>0</v>
      </c>
      <c r="AN65" s="46"/>
    </row>
    <row r="66" spans="1:39" ht="15" customHeight="1" outlineLevel="2">
      <c r="A66" s="52" t="s">
        <v>193</v>
      </c>
      <c r="B66" s="39"/>
      <c r="C66" s="623" t="s">
        <v>258</v>
      </c>
      <c r="D66" s="623"/>
      <c r="E66" s="623"/>
      <c r="F66" s="105">
        <f>0</f>
        <v>0</v>
      </c>
      <c r="G66" s="59">
        <f>0</f>
        <v>0</v>
      </c>
      <c r="H66" s="59">
        <f>0</f>
        <v>0</v>
      </c>
      <c r="I66" s="60">
        <f>0</f>
        <v>0</v>
      </c>
      <c r="J66" s="61">
        <f>0</f>
        <v>0</v>
      </c>
      <c r="K66" s="62">
        <f>207298.3</f>
        <v>207298.3</v>
      </c>
      <c r="L66" s="62">
        <f>826000</f>
        <v>826000</v>
      </c>
      <c r="M66" s="62">
        <f>1050000</f>
        <v>1050000</v>
      </c>
      <c r="N66" s="62">
        <f>1150000</f>
        <v>1150000</v>
      </c>
      <c r="O66" s="62">
        <f>1123921</f>
        <v>1123921</v>
      </c>
      <c r="P66" s="62">
        <f>1000000</f>
        <v>1000000</v>
      </c>
      <c r="Q66" s="62">
        <f>249496.46</f>
        <v>249496.46</v>
      </c>
      <c r="R66" s="62">
        <f>0</f>
        <v>0</v>
      </c>
      <c r="S66" s="62">
        <f>0</f>
        <v>0</v>
      </c>
      <c r="T66" s="62">
        <f>0</f>
        <v>0</v>
      </c>
      <c r="U66" s="62">
        <f>0</f>
        <v>0</v>
      </c>
      <c r="V66" s="62">
        <f>0</f>
        <v>0</v>
      </c>
      <c r="W66" s="62">
        <f>0</f>
        <v>0</v>
      </c>
      <c r="X66" s="62">
        <f>0</f>
        <v>0</v>
      </c>
      <c r="Y66" s="62">
        <f>0</f>
        <v>0</v>
      </c>
      <c r="Z66" s="62">
        <f>0</f>
        <v>0</v>
      </c>
      <c r="AA66" s="62">
        <f>0</f>
        <v>0</v>
      </c>
      <c r="AB66" s="62">
        <f>0</f>
        <v>0</v>
      </c>
      <c r="AC66" s="62">
        <f>0</f>
        <v>0</v>
      </c>
      <c r="AD66" s="62">
        <f>0</f>
        <v>0</v>
      </c>
      <c r="AE66" s="62">
        <f>0</f>
        <v>0</v>
      </c>
      <c r="AF66" s="62">
        <f>0</f>
        <v>0</v>
      </c>
      <c r="AG66" s="62">
        <f>0</f>
        <v>0</v>
      </c>
      <c r="AH66" s="62">
        <f>0</f>
        <v>0</v>
      </c>
      <c r="AI66" s="62">
        <f>0</f>
        <v>0</v>
      </c>
      <c r="AJ66" s="62">
        <f>0</f>
        <v>0</v>
      </c>
      <c r="AK66" s="62">
        <f>0</f>
        <v>0</v>
      </c>
      <c r="AL66" s="62">
        <f>0</f>
        <v>0</v>
      </c>
      <c r="AM66" s="63">
        <f>0</f>
        <v>0</v>
      </c>
    </row>
    <row r="67" spans="1:40" ht="15" customHeight="1" outlineLevel="1">
      <c r="A67" s="51">
        <v>11</v>
      </c>
      <c r="B67" s="625" t="s">
        <v>117</v>
      </c>
      <c r="C67" s="626"/>
      <c r="D67" s="626"/>
      <c r="E67" s="626"/>
      <c r="F67" s="108" t="s">
        <v>31</v>
      </c>
      <c r="G67" s="73" t="s">
        <v>31</v>
      </c>
      <c r="H67" s="73" t="s">
        <v>31</v>
      </c>
      <c r="I67" s="74" t="s">
        <v>31</v>
      </c>
      <c r="J67" s="75" t="s">
        <v>31</v>
      </c>
      <c r="K67" s="76" t="s">
        <v>31</v>
      </c>
      <c r="L67" s="76" t="s">
        <v>31</v>
      </c>
      <c r="M67" s="76" t="s">
        <v>31</v>
      </c>
      <c r="N67" s="76" t="s">
        <v>31</v>
      </c>
      <c r="O67" s="76" t="s">
        <v>31</v>
      </c>
      <c r="P67" s="76" t="s">
        <v>31</v>
      </c>
      <c r="Q67" s="76" t="s">
        <v>31</v>
      </c>
      <c r="R67" s="76" t="s">
        <v>31</v>
      </c>
      <c r="S67" s="76" t="s">
        <v>31</v>
      </c>
      <c r="T67" s="76" t="s">
        <v>31</v>
      </c>
      <c r="U67" s="76" t="s">
        <v>31</v>
      </c>
      <c r="V67" s="76" t="s">
        <v>31</v>
      </c>
      <c r="W67" s="76" t="s">
        <v>31</v>
      </c>
      <c r="X67" s="76" t="s">
        <v>31</v>
      </c>
      <c r="Y67" s="76" t="s">
        <v>31</v>
      </c>
      <c r="Z67" s="76" t="s">
        <v>31</v>
      </c>
      <c r="AA67" s="76" t="s">
        <v>31</v>
      </c>
      <c r="AB67" s="76" t="s">
        <v>31</v>
      </c>
      <c r="AC67" s="76" t="s">
        <v>31</v>
      </c>
      <c r="AD67" s="76" t="s">
        <v>31</v>
      </c>
      <c r="AE67" s="76" t="s">
        <v>31</v>
      </c>
      <c r="AF67" s="76" t="s">
        <v>31</v>
      </c>
      <c r="AG67" s="76" t="s">
        <v>31</v>
      </c>
      <c r="AH67" s="76" t="s">
        <v>31</v>
      </c>
      <c r="AI67" s="76" t="s">
        <v>31</v>
      </c>
      <c r="AJ67" s="76" t="s">
        <v>31</v>
      </c>
      <c r="AK67" s="76" t="s">
        <v>31</v>
      </c>
      <c r="AL67" s="76" t="s">
        <v>31</v>
      </c>
      <c r="AM67" s="77" t="s">
        <v>31</v>
      </c>
      <c r="AN67" s="46"/>
    </row>
    <row r="68" spans="1:39" ht="15" customHeight="1" outlineLevel="2">
      <c r="A68" s="52" t="s">
        <v>194</v>
      </c>
      <c r="B68" s="39"/>
      <c r="C68" s="623" t="s">
        <v>259</v>
      </c>
      <c r="D68" s="623"/>
      <c r="E68" s="623"/>
      <c r="F68" s="105">
        <f>7726520.97</f>
        <v>7726520.97</v>
      </c>
      <c r="G68" s="59">
        <f>8175395.87</f>
        <v>8175395.87</v>
      </c>
      <c r="H68" s="59">
        <f>9331118</f>
        <v>9331118</v>
      </c>
      <c r="I68" s="60">
        <f>9036202.83</f>
        <v>9036202.83</v>
      </c>
      <c r="J68" s="61">
        <f>9479822</f>
        <v>9479822</v>
      </c>
      <c r="K68" s="62">
        <f>9740005.48</f>
        <v>9740005.48</v>
      </c>
      <c r="L68" s="62">
        <f>10032205.64</f>
        <v>10032205.64</v>
      </c>
      <c r="M68" s="62">
        <f>10433493.87</f>
        <v>10433493.87</v>
      </c>
      <c r="N68" s="62">
        <f>10850833.62</f>
        <v>10850833.62</v>
      </c>
      <c r="O68" s="62">
        <f>11284866.97</f>
        <v>11284866.97</v>
      </c>
      <c r="P68" s="62">
        <f>11736261.65</f>
        <v>11736261.65</v>
      </c>
      <c r="Q68" s="62">
        <f>12205712.11</f>
        <v>12205712.11</v>
      </c>
      <c r="R68" s="62">
        <f>0</f>
        <v>0</v>
      </c>
      <c r="S68" s="62">
        <f>0</f>
        <v>0</v>
      </c>
      <c r="T68" s="62">
        <f>0</f>
        <v>0</v>
      </c>
      <c r="U68" s="62">
        <f>0</f>
        <v>0</v>
      </c>
      <c r="V68" s="62">
        <f>0</f>
        <v>0</v>
      </c>
      <c r="W68" s="62">
        <f>0</f>
        <v>0</v>
      </c>
      <c r="X68" s="62">
        <f>0</f>
        <v>0</v>
      </c>
      <c r="Y68" s="62">
        <f>0</f>
        <v>0</v>
      </c>
      <c r="Z68" s="62">
        <f>0</f>
        <v>0</v>
      </c>
      <c r="AA68" s="62">
        <f>0</f>
        <v>0</v>
      </c>
      <c r="AB68" s="62">
        <f>0</f>
        <v>0</v>
      </c>
      <c r="AC68" s="62">
        <f>0</f>
        <v>0</v>
      </c>
      <c r="AD68" s="62">
        <f>0</f>
        <v>0</v>
      </c>
      <c r="AE68" s="62">
        <f>0</f>
        <v>0</v>
      </c>
      <c r="AF68" s="62">
        <f>0</f>
        <v>0</v>
      </c>
      <c r="AG68" s="62">
        <f>0</f>
        <v>0</v>
      </c>
      <c r="AH68" s="62">
        <f>0</f>
        <v>0</v>
      </c>
      <c r="AI68" s="62">
        <f>0</f>
        <v>0</v>
      </c>
      <c r="AJ68" s="62">
        <f>0</f>
        <v>0</v>
      </c>
      <c r="AK68" s="62">
        <f>0</f>
        <v>0</v>
      </c>
      <c r="AL68" s="62">
        <f>0</f>
        <v>0</v>
      </c>
      <c r="AM68" s="63">
        <f>0</f>
        <v>0</v>
      </c>
    </row>
    <row r="69" spans="1:39" ht="15" customHeight="1" outlineLevel="2">
      <c r="A69" s="52" t="s">
        <v>195</v>
      </c>
      <c r="B69" s="39"/>
      <c r="C69" s="623" t="s">
        <v>260</v>
      </c>
      <c r="D69" s="623"/>
      <c r="E69" s="623"/>
      <c r="F69" s="105">
        <f>1825942.07</f>
        <v>1825942.07</v>
      </c>
      <c r="G69" s="59">
        <f>2071878.64</f>
        <v>2071878.64</v>
      </c>
      <c r="H69" s="59">
        <f>0</f>
        <v>0</v>
      </c>
      <c r="I69" s="60">
        <f>2189993.38</f>
        <v>2189993.38</v>
      </c>
      <c r="J69" s="61">
        <f>2498406</f>
        <v>2498406</v>
      </c>
      <c r="K69" s="62">
        <f>2513206.87</f>
        <v>2513206.87</v>
      </c>
      <c r="L69" s="62">
        <f>2543365.35</f>
        <v>2543365.35</v>
      </c>
      <c r="M69" s="62">
        <f>2645099.97</f>
        <v>2645099.97</v>
      </c>
      <c r="N69" s="62">
        <f>2750903.97</f>
        <v>2750903.97</v>
      </c>
      <c r="O69" s="62">
        <f>2860940.12</f>
        <v>2860940.12</v>
      </c>
      <c r="P69" s="62">
        <f>2975377.73</f>
        <v>2975377.73</v>
      </c>
      <c r="Q69" s="62">
        <f>3094392.84</f>
        <v>3094392.84</v>
      </c>
      <c r="R69" s="62">
        <f>0</f>
        <v>0</v>
      </c>
      <c r="S69" s="62">
        <f>0</f>
        <v>0</v>
      </c>
      <c r="T69" s="62">
        <f>0</f>
        <v>0</v>
      </c>
      <c r="U69" s="62">
        <f>0</f>
        <v>0</v>
      </c>
      <c r="V69" s="62">
        <f>0</f>
        <v>0</v>
      </c>
      <c r="W69" s="62">
        <f>0</f>
        <v>0</v>
      </c>
      <c r="X69" s="62">
        <f>0</f>
        <v>0</v>
      </c>
      <c r="Y69" s="62">
        <f>0</f>
        <v>0</v>
      </c>
      <c r="Z69" s="62">
        <f>0</f>
        <v>0</v>
      </c>
      <c r="AA69" s="62">
        <f>0</f>
        <v>0</v>
      </c>
      <c r="AB69" s="62">
        <f>0</f>
        <v>0</v>
      </c>
      <c r="AC69" s="62">
        <f>0</f>
        <v>0</v>
      </c>
      <c r="AD69" s="62">
        <f>0</f>
        <v>0</v>
      </c>
      <c r="AE69" s="62">
        <f>0</f>
        <v>0</v>
      </c>
      <c r="AF69" s="62">
        <f>0</f>
        <v>0</v>
      </c>
      <c r="AG69" s="62">
        <f>0</f>
        <v>0</v>
      </c>
      <c r="AH69" s="62">
        <f>0</f>
        <v>0</v>
      </c>
      <c r="AI69" s="62">
        <f>0</f>
        <v>0</v>
      </c>
      <c r="AJ69" s="62">
        <f>0</f>
        <v>0</v>
      </c>
      <c r="AK69" s="62">
        <f>0</f>
        <v>0</v>
      </c>
      <c r="AL69" s="62">
        <f>0</f>
        <v>0</v>
      </c>
      <c r="AM69" s="63">
        <f>0</f>
        <v>0</v>
      </c>
    </row>
    <row r="70" spans="1:39" ht="15" customHeight="1" outlineLevel="2">
      <c r="A70" s="52" t="s">
        <v>196</v>
      </c>
      <c r="B70" s="39"/>
      <c r="C70" s="623" t="s">
        <v>263</v>
      </c>
      <c r="D70" s="623"/>
      <c r="E70" s="623"/>
      <c r="F70" s="105">
        <f>0</f>
        <v>0</v>
      </c>
      <c r="G70" s="59">
        <f>1181194.11</f>
        <v>1181194.11</v>
      </c>
      <c r="H70" s="59">
        <f>2327042.52</f>
        <v>2327042.52</v>
      </c>
      <c r="I70" s="60">
        <f>1719913.32</f>
        <v>1719913.32</v>
      </c>
      <c r="J70" s="61">
        <f>2301789.15</f>
        <v>2301789.15</v>
      </c>
      <c r="K70" s="62">
        <f>1006789.29</f>
        <v>1006789.29</v>
      </c>
      <c r="L70" s="62">
        <f>619721.8</f>
        <v>619721.8</v>
      </c>
      <c r="M70" s="62">
        <f>700000</f>
        <v>700000</v>
      </c>
      <c r="N70" s="62">
        <f>0</f>
        <v>0</v>
      </c>
      <c r="O70" s="62">
        <f>0</f>
        <v>0</v>
      </c>
      <c r="P70" s="62">
        <f>0</f>
        <v>0</v>
      </c>
      <c r="Q70" s="62">
        <f>0</f>
        <v>0</v>
      </c>
      <c r="R70" s="62">
        <f>0</f>
        <v>0</v>
      </c>
      <c r="S70" s="62">
        <f>0</f>
        <v>0</v>
      </c>
      <c r="T70" s="62">
        <f>0</f>
        <v>0</v>
      </c>
      <c r="U70" s="62">
        <f>0</f>
        <v>0</v>
      </c>
      <c r="V70" s="62">
        <f>0</f>
        <v>0</v>
      </c>
      <c r="W70" s="62">
        <f>0</f>
        <v>0</v>
      </c>
      <c r="X70" s="62">
        <f>0</f>
        <v>0</v>
      </c>
      <c r="Y70" s="62">
        <f>0</f>
        <v>0</v>
      </c>
      <c r="Z70" s="62">
        <f>0</f>
        <v>0</v>
      </c>
      <c r="AA70" s="62">
        <f>0</f>
        <v>0</v>
      </c>
      <c r="AB70" s="62">
        <f>0</f>
        <v>0</v>
      </c>
      <c r="AC70" s="62">
        <f>0</f>
        <v>0</v>
      </c>
      <c r="AD70" s="62">
        <f>0</f>
        <v>0</v>
      </c>
      <c r="AE70" s="62">
        <f>0</f>
        <v>0</v>
      </c>
      <c r="AF70" s="62">
        <f>0</f>
        <v>0</v>
      </c>
      <c r="AG70" s="62">
        <f>0</f>
        <v>0</v>
      </c>
      <c r="AH70" s="62">
        <f>0</f>
        <v>0</v>
      </c>
      <c r="AI70" s="62">
        <f>0</f>
        <v>0</v>
      </c>
      <c r="AJ70" s="62">
        <f>0</f>
        <v>0</v>
      </c>
      <c r="AK70" s="62">
        <f>0</f>
        <v>0</v>
      </c>
      <c r="AL70" s="62">
        <f>0</f>
        <v>0</v>
      </c>
      <c r="AM70" s="63">
        <f>0</f>
        <v>0</v>
      </c>
    </row>
    <row r="71" spans="1:39" ht="15" customHeight="1" outlineLevel="2">
      <c r="A71" s="52" t="s">
        <v>121</v>
      </c>
      <c r="B71" s="39"/>
      <c r="C71" s="40"/>
      <c r="D71" s="623" t="s">
        <v>261</v>
      </c>
      <c r="E71" s="623"/>
      <c r="F71" s="105">
        <f>0</f>
        <v>0</v>
      </c>
      <c r="G71" s="59">
        <f>872755.56</f>
        <v>872755.56</v>
      </c>
      <c r="H71" s="59">
        <f>1249082.52</f>
        <v>1249082.52</v>
      </c>
      <c r="I71" s="60">
        <f>1090480.13</f>
        <v>1090480.13</v>
      </c>
      <c r="J71" s="61">
        <f>234789.15</f>
        <v>234789.15</v>
      </c>
      <c r="K71" s="62">
        <f>316789.29</f>
        <v>316789.29</v>
      </c>
      <c r="L71" s="62">
        <f>174221.8</f>
        <v>174221.8</v>
      </c>
      <c r="M71" s="62">
        <f>0</f>
        <v>0</v>
      </c>
      <c r="N71" s="62">
        <f>0</f>
        <v>0</v>
      </c>
      <c r="O71" s="62">
        <f>0</f>
        <v>0</v>
      </c>
      <c r="P71" s="62">
        <f>0</f>
        <v>0</v>
      </c>
      <c r="Q71" s="62">
        <f>0</f>
        <v>0</v>
      </c>
      <c r="R71" s="62">
        <f>0</f>
        <v>0</v>
      </c>
      <c r="S71" s="62">
        <f>0</f>
        <v>0</v>
      </c>
      <c r="T71" s="62">
        <f>0</f>
        <v>0</v>
      </c>
      <c r="U71" s="62">
        <f>0</f>
        <v>0</v>
      </c>
      <c r="V71" s="62">
        <f>0</f>
        <v>0</v>
      </c>
      <c r="W71" s="62">
        <f>0</f>
        <v>0</v>
      </c>
      <c r="X71" s="62">
        <f>0</f>
        <v>0</v>
      </c>
      <c r="Y71" s="62">
        <f>0</f>
        <v>0</v>
      </c>
      <c r="Z71" s="62">
        <f>0</f>
        <v>0</v>
      </c>
      <c r="AA71" s="62">
        <f>0</f>
        <v>0</v>
      </c>
      <c r="AB71" s="62">
        <f>0</f>
        <v>0</v>
      </c>
      <c r="AC71" s="62">
        <f>0</f>
        <v>0</v>
      </c>
      <c r="AD71" s="62">
        <f>0</f>
        <v>0</v>
      </c>
      <c r="AE71" s="62">
        <f>0</f>
        <v>0</v>
      </c>
      <c r="AF71" s="62">
        <f>0</f>
        <v>0</v>
      </c>
      <c r="AG71" s="62">
        <f>0</f>
        <v>0</v>
      </c>
      <c r="AH71" s="62">
        <f>0</f>
        <v>0</v>
      </c>
      <c r="AI71" s="62">
        <f>0</f>
        <v>0</v>
      </c>
      <c r="AJ71" s="62">
        <f>0</f>
        <v>0</v>
      </c>
      <c r="AK71" s="62">
        <f>0</f>
        <v>0</v>
      </c>
      <c r="AL71" s="62">
        <f>0</f>
        <v>0</v>
      </c>
      <c r="AM71" s="63">
        <f>0</f>
        <v>0</v>
      </c>
    </row>
    <row r="72" spans="1:39" ht="15" customHeight="1" outlineLevel="2">
      <c r="A72" s="52" t="s">
        <v>123</v>
      </c>
      <c r="B72" s="39"/>
      <c r="C72" s="40"/>
      <c r="D72" s="623" t="s">
        <v>262</v>
      </c>
      <c r="E72" s="623"/>
      <c r="F72" s="105">
        <f>0</f>
        <v>0</v>
      </c>
      <c r="G72" s="59">
        <f>308438.55</f>
        <v>308438.55</v>
      </c>
      <c r="H72" s="59">
        <f>1077960</f>
        <v>1077960</v>
      </c>
      <c r="I72" s="60">
        <f>629433.19</f>
        <v>629433.19</v>
      </c>
      <c r="J72" s="61">
        <f>2067000</f>
        <v>2067000</v>
      </c>
      <c r="K72" s="62">
        <f>690000</f>
        <v>690000</v>
      </c>
      <c r="L72" s="62">
        <f>445500</f>
        <v>445500</v>
      </c>
      <c r="M72" s="62">
        <f>700000</f>
        <v>700000</v>
      </c>
      <c r="N72" s="62">
        <f>0</f>
        <v>0</v>
      </c>
      <c r="O72" s="62">
        <f>0</f>
        <v>0</v>
      </c>
      <c r="P72" s="62">
        <f>0</f>
        <v>0</v>
      </c>
      <c r="Q72" s="62">
        <f>0</f>
        <v>0</v>
      </c>
      <c r="R72" s="62">
        <f>0</f>
        <v>0</v>
      </c>
      <c r="S72" s="62">
        <f>0</f>
        <v>0</v>
      </c>
      <c r="T72" s="62">
        <f>0</f>
        <v>0</v>
      </c>
      <c r="U72" s="62">
        <f>0</f>
        <v>0</v>
      </c>
      <c r="V72" s="62">
        <f>0</f>
        <v>0</v>
      </c>
      <c r="W72" s="62">
        <f>0</f>
        <v>0</v>
      </c>
      <c r="X72" s="62">
        <f>0</f>
        <v>0</v>
      </c>
      <c r="Y72" s="62">
        <f>0</f>
        <v>0</v>
      </c>
      <c r="Z72" s="62">
        <f>0</f>
        <v>0</v>
      </c>
      <c r="AA72" s="62">
        <f>0</f>
        <v>0</v>
      </c>
      <c r="AB72" s="62">
        <f>0</f>
        <v>0</v>
      </c>
      <c r="AC72" s="62">
        <f>0</f>
        <v>0</v>
      </c>
      <c r="AD72" s="62">
        <f>0</f>
        <v>0</v>
      </c>
      <c r="AE72" s="62">
        <f>0</f>
        <v>0</v>
      </c>
      <c r="AF72" s="62">
        <f>0</f>
        <v>0</v>
      </c>
      <c r="AG72" s="62">
        <f>0</f>
        <v>0</v>
      </c>
      <c r="AH72" s="62">
        <f>0</f>
        <v>0</v>
      </c>
      <c r="AI72" s="62">
        <f>0</f>
        <v>0</v>
      </c>
      <c r="AJ72" s="62">
        <f>0</f>
        <v>0</v>
      </c>
      <c r="AK72" s="62">
        <f>0</f>
        <v>0</v>
      </c>
      <c r="AL72" s="62">
        <f>0</f>
        <v>0</v>
      </c>
      <c r="AM72" s="63">
        <f>0</f>
        <v>0</v>
      </c>
    </row>
    <row r="73" spans="1:39" ht="15" customHeight="1" outlineLevel="2">
      <c r="A73" s="52" t="s">
        <v>197</v>
      </c>
      <c r="B73" s="39"/>
      <c r="C73" s="623" t="s">
        <v>264</v>
      </c>
      <c r="D73" s="623"/>
      <c r="E73" s="623"/>
      <c r="F73" s="105">
        <f>2653876.37</f>
        <v>2653876.37</v>
      </c>
      <c r="G73" s="59">
        <f>95488</f>
        <v>95488</v>
      </c>
      <c r="H73" s="59">
        <f>495460</f>
        <v>495460</v>
      </c>
      <c r="I73" s="60">
        <f>439480.09</f>
        <v>439480.09</v>
      </c>
      <c r="J73" s="61">
        <f>2067000</f>
        <v>2067000</v>
      </c>
      <c r="K73" s="62">
        <f>690000</f>
        <v>690000</v>
      </c>
      <c r="L73" s="62">
        <f>445500</f>
        <v>445500</v>
      </c>
      <c r="M73" s="62">
        <f>700000</f>
        <v>700000</v>
      </c>
      <c r="N73" s="62">
        <f>0</f>
        <v>0</v>
      </c>
      <c r="O73" s="62">
        <f>0</f>
        <v>0</v>
      </c>
      <c r="P73" s="62">
        <f>0</f>
        <v>0</v>
      </c>
      <c r="Q73" s="62">
        <f>0</f>
        <v>0</v>
      </c>
      <c r="R73" s="62">
        <f>0</f>
        <v>0</v>
      </c>
      <c r="S73" s="62">
        <f>0</f>
        <v>0</v>
      </c>
      <c r="T73" s="62">
        <f>0</f>
        <v>0</v>
      </c>
      <c r="U73" s="62">
        <f>0</f>
        <v>0</v>
      </c>
      <c r="V73" s="62">
        <f>0</f>
        <v>0</v>
      </c>
      <c r="W73" s="62">
        <f>0</f>
        <v>0</v>
      </c>
      <c r="X73" s="62">
        <f>0</f>
        <v>0</v>
      </c>
      <c r="Y73" s="62">
        <f>0</f>
        <v>0</v>
      </c>
      <c r="Z73" s="62">
        <f>0</f>
        <v>0</v>
      </c>
      <c r="AA73" s="62">
        <f>0</f>
        <v>0</v>
      </c>
      <c r="AB73" s="62">
        <f>0</f>
        <v>0</v>
      </c>
      <c r="AC73" s="62">
        <f>0</f>
        <v>0</v>
      </c>
      <c r="AD73" s="62">
        <f>0</f>
        <v>0</v>
      </c>
      <c r="AE73" s="62">
        <f>0</f>
        <v>0</v>
      </c>
      <c r="AF73" s="62">
        <f>0</f>
        <v>0</v>
      </c>
      <c r="AG73" s="62">
        <f>0</f>
        <v>0</v>
      </c>
      <c r="AH73" s="62">
        <f>0</f>
        <v>0</v>
      </c>
      <c r="AI73" s="62">
        <f>0</f>
        <v>0</v>
      </c>
      <c r="AJ73" s="62">
        <f>0</f>
        <v>0</v>
      </c>
      <c r="AK73" s="62">
        <f>0</f>
        <v>0</v>
      </c>
      <c r="AL73" s="62">
        <f>0</f>
        <v>0</v>
      </c>
      <c r="AM73" s="63">
        <f>0</f>
        <v>0</v>
      </c>
    </row>
    <row r="74" spans="1:39" ht="15" customHeight="1" outlineLevel="2">
      <c r="A74" s="52" t="s">
        <v>198</v>
      </c>
      <c r="B74" s="39"/>
      <c r="C74" s="623" t="s">
        <v>265</v>
      </c>
      <c r="D74" s="623"/>
      <c r="E74" s="623"/>
      <c r="F74" s="105">
        <f>628882.29</f>
        <v>628882.29</v>
      </c>
      <c r="G74" s="59">
        <f>1304955.32</f>
        <v>1304955.32</v>
      </c>
      <c r="H74" s="59">
        <f>1244490</f>
        <v>1244490</v>
      </c>
      <c r="I74" s="60">
        <f>717735.92</f>
        <v>717735.92</v>
      </c>
      <c r="J74" s="61">
        <f>332000</f>
        <v>332000</v>
      </c>
      <c r="K74" s="62">
        <f>670000</f>
        <v>670000</v>
      </c>
      <c r="L74" s="62">
        <f>834015.26</f>
        <v>834015.26</v>
      </c>
      <c r="M74" s="62">
        <f>438724.11</f>
        <v>438724.11</v>
      </c>
      <c r="N74" s="62">
        <f>1124026.25</f>
        <v>1124026.25</v>
      </c>
      <c r="O74" s="62">
        <f>1257551.86</f>
        <v>1257551.86</v>
      </c>
      <c r="P74" s="62">
        <f>1541115.87</f>
        <v>1541115.87</v>
      </c>
      <c r="Q74" s="62">
        <f>2383511.51</f>
        <v>2383511.51</v>
      </c>
      <c r="R74" s="62">
        <f>0</f>
        <v>0</v>
      </c>
      <c r="S74" s="62">
        <f>0</f>
        <v>0</v>
      </c>
      <c r="T74" s="62">
        <f>0</f>
        <v>0</v>
      </c>
      <c r="U74" s="62">
        <f>0</f>
        <v>0</v>
      </c>
      <c r="V74" s="62">
        <f>0</f>
        <v>0</v>
      </c>
      <c r="W74" s="62">
        <f>0</f>
        <v>0</v>
      </c>
      <c r="X74" s="62">
        <f>0</f>
        <v>0</v>
      </c>
      <c r="Y74" s="62">
        <f>0</f>
        <v>0</v>
      </c>
      <c r="Z74" s="62">
        <f>0</f>
        <v>0</v>
      </c>
      <c r="AA74" s="62">
        <f>0</f>
        <v>0</v>
      </c>
      <c r="AB74" s="62">
        <f>0</f>
        <v>0</v>
      </c>
      <c r="AC74" s="62">
        <f>0</f>
        <v>0</v>
      </c>
      <c r="AD74" s="62">
        <f>0</f>
        <v>0</v>
      </c>
      <c r="AE74" s="62">
        <f>0</f>
        <v>0</v>
      </c>
      <c r="AF74" s="62">
        <f>0</f>
        <v>0</v>
      </c>
      <c r="AG74" s="62">
        <f>0</f>
        <v>0</v>
      </c>
      <c r="AH74" s="62">
        <f>0</f>
        <v>0</v>
      </c>
      <c r="AI74" s="62">
        <f>0</f>
        <v>0</v>
      </c>
      <c r="AJ74" s="62">
        <f>0</f>
        <v>0</v>
      </c>
      <c r="AK74" s="62">
        <f>0</f>
        <v>0</v>
      </c>
      <c r="AL74" s="62">
        <f>0</f>
        <v>0</v>
      </c>
      <c r="AM74" s="63">
        <f>0</f>
        <v>0</v>
      </c>
    </row>
    <row r="75" spans="1:39" ht="15" customHeight="1" outlineLevel="2">
      <c r="A75" s="52" t="s">
        <v>199</v>
      </c>
      <c r="B75" s="39"/>
      <c r="C75" s="623" t="s">
        <v>266</v>
      </c>
      <c r="D75" s="623"/>
      <c r="E75" s="623"/>
      <c r="F75" s="105">
        <f>0</f>
        <v>0</v>
      </c>
      <c r="G75" s="59">
        <f>30000</f>
        <v>30000</v>
      </c>
      <c r="H75" s="59">
        <f>15000</f>
        <v>15000</v>
      </c>
      <c r="I75" s="60">
        <f>15000</f>
        <v>15000</v>
      </c>
      <c r="J75" s="61">
        <f>105000</f>
        <v>105000</v>
      </c>
      <c r="K75" s="62">
        <f>0</f>
        <v>0</v>
      </c>
      <c r="L75" s="62">
        <f>0</f>
        <v>0</v>
      </c>
      <c r="M75" s="62">
        <f>0</f>
        <v>0</v>
      </c>
      <c r="N75" s="62">
        <f>0</f>
        <v>0</v>
      </c>
      <c r="O75" s="62">
        <f>0</f>
        <v>0</v>
      </c>
      <c r="P75" s="62">
        <f>0</f>
        <v>0</v>
      </c>
      <c r="Q75" s="62">
        <f>0</f>
        <v>0</v>
      </c>
      <c r="R75" s="62">
        <f>0</f>
        <v>0</v>
      </c>
      <c r="S75" s="62">
        <f>0</f>
        <v>0</v>
      </c>
      <c r="T75" s="62">
        <f>0</f>
        <v>0</v>
      </c>
      <c r="U75" s="62">
        <f>0</f>
        <v>0</v>
      </c>
      <c r="V75" s="62">
        <f>0</f>
        <v>0</v>
      </c>
      <c r="W75" s="62">
        <f>0</f>
        <v>0</v>
      </c>
      <c r="X75" s="62">
        <f>0</f>
        <v>0</v>
      </c>
      <c r="Y75" s="62">
        <f>0</f>
        <v>0</v>
      </c>
      <c r="Z75" s="62">
        <f>0</f>
        <v>0</v>
      </c>
      <c r="AA75" s="62">
        <f>0</f>
        <v>0</v>
      </c>
      <c r="AB75" s="62">
        <f>0</f>
        <v>0</v>
      </c>
      <c r="AC75" s="62">
        <f>0</f>
        <v>0</v>
      </c>
      <c r="AD75" s="62">
        <f>0</f>
        <v>0</v>
      </c>
      <c r="AE75" s="62">
        <f>0</f>
        <v>0</v>
      </c>
      <c r="AF75" s="62">
        <f>0</f>
        <v>0</v>
      </c>
      <c r="AG75" s="62">
        <f>0</f>
        <v>0</v>
      </c>
      <c r="AH75" s="62">
        <f>0</f>
        <v>0</v>
      </c>
      <c r="AI75" s="62">
        <f>0</f>
        <v>0</v>
      </c>
      <c r="AJ75" s="62">
        <f>0</f>
        <v>0</v>
      </c>
      <c r="AK75" s="62">
        <f>0</f>
        <v>0</v>
      </c>
      <c r="AL75" s="62">
        <f>0</f>
        <v>0</v>
      </c>
      <c r="AM75" s="63">
        <f>0</f>
        <v>0</v>
      </c>
    </row>
    <row r="76" spans="1:40" ht="26.25" customHeight="1" outlineLevel="1">
      <c r="A76" s="51">
        <v>12</v>
      </c>
      <c r="B76" s="625" t="s">
        <v>128</v>
      </c>
      <c r="C76" s="626"/>
      <c r="D76" s="626"/>
      <c r="E76" s="626"/>
      <c r="F76" s="108" t="s">
        <v>31</v>
      </c>
      <c r="G76" s="73" t="s">
        <v>31</v>
      </c>
      <c r="H76" s="73" t="s">
        <v>31</v>
      </c>
      <c r="I76" s="74" t="s">
        <v>31</v>
      </c>
      <c r="J76" s="75" t="s">
        <v>31</v>
      </c>
      <c r="K76" s="76" t="s">
        <v>31</v>
      </c>
      <c r="L76" s="76" t="s">
        <v>31</v>
      </c>
      <c r="M76" s="76" t="s">
        <v>31</v>
      </c>
      <c r="N76" s="76" t="s">
        <v>31</v>
      </c>
      <c r="O76" s="76" t="s">
        <v>31</v>
      </c>
      <c r="P76" s="76" t="s">
        <v>31</v>
      </c>
      <c r="Q76" s="76" t="s">
        <v>31</v>
      </c>
      <c r="R76" s="76" t="s">
        <v>31</v>
      </c>
      <c r="S76" s="76" t="s">
        <v>31</v>
      </c>
      <c r="T76" s="76" t="s">
        <v>31</v>
      </c>
      <c r="U76" s="76" t="s">
        <v>31</v>
      </c>
      <c r="V76" s="76" t="s">
        <v>31</v>
      </c>
      <c r="W76" s="76" t="s">
        <v>31</v>
      </c>
      <c r="X76" s="76" t="s">
        <v>31</v>
      </c>
      <c r="Y76" s="76" t="s">
        <v>31</v>
      </c>
      <c r="Z76" s="76" t="s">
        <v>31</v>
      </c>
      <c r="AA76" s="76" t="s">
        <v>31</v>
      </c>
      <c r="AB76" s="76" t="s">
        <v>31</v>
      </c>
      <c r="AC76" s="76" t="s">
        <v>31</v>
      </c>
      <c r="AD76" s="76" t="s">
        <v>31</v>
      </c>
      <c r="AE76" s="76" t="s">
        <v>31</v>
      </c>
      <c r="AF76" s="76" t="s">
        <v>31</v>
      </c>
      <c r="AG76" s="76" t="s">
        <v>31</v>
      </c>
      <c r="AH76" s="76" t="s">
        <v>31</v>
      </c>
      <c r="AI76" s="76" t="s">
        <v>31</v>
      </c>
      <c r="AJ76" s="76" t="s">
        <v>31</v>
      </c>
      <c r="AK76" s="76" t="s">
        <v>31</v>
      </c>
      <c r="AL76" s="76" t="s">
        <v>31</v>
      </c>
      <c r="AM76" s="77" t="s">
        <v>31</v>
      </c>
      <c r="AN76" s="46"/>
    </row>
    <row r="77" spans="1:39" ht="25.5" customHeight="1" outlineLevel="2">
      <c r="A77" s="52" t="s">
        <v>200</v>
      </c>
      <c r="B77" s="39"/>
      <c r="C77" s="623" t="s">
        <v>267</v>
      </c>
      <c r="D77" s="623"/>
      <c r="E77" s="623"/>
      <c r="F77" s="105">
        <f>110091.68</f>
        <v>110091.68</v>
      </c>
      <c r="G77" s="59">
        <f>198689.69</f>
        <v>198689.69</v>
      </c>
      <c r="H77" s="59">
        <f>308457.4</f>
        <v>308457.4</v>
      </c>
      <c r="I77" s="60">
        <f>292199.16</f>
        <v>292199.16</v>
      </c>
      <c r="J77" s="61">
        <f>544163.79</f>
        <v>544163.79</v>
      </c>
      <c r="K77" s="62">
        <f>241528.18</f>
        <v>241528.18</v>
      </c>
      <c r="L77" s="62">
        <f>159229.52</f>
        <v>159229.52</v>
      </c>
      <c r="M77" s="62">
        <f>0</f>
        <v>0</v>
      </c>
      <c r="N77" s="62">
        <f>0</f>
        <v>0</v>
      </c>
      <c r="O77" s="62">
        <f>0</f>
        <v>0</v>
      </c>
      <c r="P77" s="62">
        <f>0</f>
        <v>0</v>
      </c>
      <c r="Q77" s="62">
        <f>0</f>
        <v>0</v>
      </c>
      <c r="R77" s="62">
        <f>0</f>
        <v>0</v>
      </c>
      <c r="S77" s="62">
        <f>0</f>
        <v>0</v>
      </c>
      <c r="T77" s="62">
        <f>0</f>
        <v>0</v>
      </c>
      <c r="U77" s="62">
        <f>0</f>
        <v>0</v>
      </c>
      <c r="V77" s="62">
        <f>0</f>
        <v>0</v>
      </c>
      <c r="W77" s="62">
        <f>0</f>
        <v>0</v>
      </c>
      <c r="X77" s="62">
        <f>0</f>
        <v>0</v>
      </c>
      <c r="Y77" s="62">
        <f>0</f>
        <v>0</v>
      </c>
      <c r="Z77" s="62">
        <f>0</f>
        <v>0</v>
      </c>
      <c r="AA77" s="62">
        <f>0</f>
        <v>0</v>
      </c>
      <c r="AB77" s="62">
        <f>0</f>
        <v>0</v>
      </c>
      <c r="AC77" s="62">
        <f>0</f>
        <v>0</v>
      </c>
      <c r="AD77" s="62">
        <f>0</f>
        <v>0</v>
      </c>
      <c r="AE77" s="62">
        <f>0</f>
        <v>0</v>
      </c>
      <c r="AF77" s="62">
        <f>0</f>
        <v>0</v>
      </c>
      <c r="AG77" s="62">
        <f>0</f>
        <v>0</v>
      </c>
      <c r="AH77" s="62">
        <f>0</f>
        <v>0</v>
      </c>
      <c r="AI77" s="62">
        <f>0</f>
        <v>0</v>
      </c>
      <c r="AJ77" s="62">
        <f>0</f>
        <v>0</v>
      </c>
      <c r="AK77" s="62">
        <f>0</f>
        <v>0</v>
      </c>
      <c r="AL77" s="62">
        <f>0</f>
        <v>0</v>
      </c>
      <c r="AM77" s="63">
        <f>0</f>
        <v>0</v>
      </c>
    </row>
    <row r="78" spans="1:39" ht="15" customHeight="1" outlineLevel="2">
      <c r="A78" s="52" t="s">
        <v>130</v>
      </c>
      <c r="B78" s="39"/>
      <c r="C78" s="40"/>
      <c r="D78" s="623" t="s">
        <v>268</v>
      </c>
      <c r="E78" s="623"/>
      <c r="F78" s="105">
        <f>110091.68</f>
        <v>110091.68</v>
      </c>
      <c r="G78" s="59">
        <f>198689.69</f>
        <v>198689.69</v>
      </c>
      <c r="H78" s="59">
        <f>308457.4</f>
        <v>308457.4</v>
      </c>
      <c r="I78" s="60">
        <f>292199.16</f>
        <v>292199.16</v>
      </c>
      <c r="J78" s="61">
        <f>338741.01</f>
        <v>338741.01</v>
      </c>
      <c r="K78" s="62">
        <f>241528.18</f>
        <v>241528.18</v>
      </c>
      <c r="L78" s="62">
        <f>159229.52</f>
        <v>159229.52</v>
      </c>
      <c r="M78" s="62">
        <f>0</f>
        <v>0</v>
      </c>
      <c r="N78" s="62">
        <f>0</f>
        <v>0</v>
      </c>
      <c r="O78" s="62">
        <f>0</f>
        <v>0</v>
      </c>
      <c r="P78" s="62">
        <f>0</f>
        <v>0</v>
      </c>
      <c r="Q78" s="62">
        <f>0</f>
        <v>0</v>
      </c>
      <c r="R78" s="62">
        <f>0</f>
        <v>0</v>
      </c>
      <c r="S78" s="62">
        <f>0</f>
        <v>0</v>
      </c>
      <c r="T78" s="62">
        <f>0</f>
        <v>0</v>
      </c>
      <c r="U78" s="62">
        <f>0</f>
        <v>0</v>
      </c>
      <c r="V78" s="62">
        <f>0</f>
        <v>0</v>
      </c>
      <c r="W78" s="62">
        <f>0</f>
        <v>0</v>
      </c>
      <c r="X78" s="62">
        <f>0</f>
        <v>0</v>
      </c>
      <c r="Y78" s="62">
        <f>0</f>
        <v>0</v>
      </c>
      <c r="Z78" s="62">
        <f>0</f>
        <v>0</v>
      </c>
      <c r="AA78" s="62">
        <f>0</f>
        <v>0</v>
      </c>
      <c r="AB78" s="62">
        <f>0</f>
        <v>0</v>
      </c>
      <c r="AC78" s="62">
        <f>0</f>
        <v>0</v>
      </c>
      <c r="AD78" s="62">
        <f>0</f>
        <v>0</v>
      </c>
      <c r="AE78" s="62">
        <f>0</f>
        <v>0</v>
      </c>
      <c r="AF78" s="62">
        <f>0</f>
        <v>0</v>
      </c>
      <c r="AG78" s="62">
        <f>0</f>
        <v>0</v>
      </c>
      <c r="AH78" s="62">
        <f>0</f>
        <v>0</v>
      </c>
      <c r="AI78" s="62">
        <f>0</f>
        <v>0</v>
      </c>
      <c r="AJ78" s="62">
        <f>0</f>
        <v>0</v>
      </c>
      <c r="AK78" s="62">
        <f>0</f>
        <v>0</v>
      </c>
      <c r="AL78" s="62">
        <f>0</f>
        <v>0</v>
      </c>
      <c r="AM78" s="63">
        <f>0</f>
        <v>0</v>
      </c>
    </row>
    <row r="79" spans="1:39" ht="25.5" customHeight="1" outlineLevel="2">
      <c r="A79" s="52" t="s">
        <v>132</v>
      </c>
      <c r="B79" s="39"/>
      <c r="C79" s="40"/>
      <c r="D79" s="40"/>
      <c r="E79" s="88" t="s">
        <v>269</v>
      </c>
      <c r="F79" s="105">
        <f>110091.68</f>
        <v>110091.68</v>
      </c>
      <c r="G79" s="59">
        <f>198689.69</f>
        <v>198689.69</v>
      </c>
      <c r="H79" s="59">
        <f>308457.4</f>
        <v>308457.4</v>
      </c>
      <c r="I79" s="60">
        <f>292199.16</f>
        <v>292199.16</v>
      </c>
      <c r="J79" s="61">
        <f>338741.01</f>
        <v>338741.01</v>
      </c>
      <c r="K79" s="62">
        <f>241528.18</f>
        <v>241528.18</v>
      </c>
      <c r="L79" s="62">
        <f>159229.52</f>
        <v>159229.52</v>
      </c>
      <c r="M79" s="62">
        <f>0</f>
        <v>0</v>
      </c>
      <c r="N79" s="62">
        <f>0</f>
        <v>0</v>
      </c>
      <c r="O79" s="62">
        <f>0</f>
        <v>0</v>
      </c>
      <c r="P79" s="62">
        <f>0</f>
        <v>0</v>
      </c>
      <c r="Q79" s="62">
        <f>0</f>
        <v>0</v>
      </c>
      <c r="R79" s="62">
        <f>0</f>
        <v>0</v>
      </c>
      <c r="S79" s="62">
        <f>0</f>
        <v>0</v>
      </c>
      <c r="T79" s="62">
        <f>0</f>
        <v>0</v>
      </c>
      <c r="U79" s="62">
        <f>0</f>
        <v>0</v>
      </c>
      <c r="V79" s="62">
        <f>0</f>
        <v>0</v>
      </c>
      <c r="W79" s="62">
        <f>0</f>
        <v>0</v>
      </c>
      <c r="X79" s="62">
        <f>0</f>
        <v>0</v>
      </c>
      <c r="Y79" s="62">
        <f>0</f>
        <v>0</v>
      </c>
      <c r="Z79" s="62">
        <f>0</f>
        <v>0</v>
      </c>
      <c r="AA79" s="62">
        <f>0</f>
        <v>0</v>
      </c>
      <c r="AB79" s="62">
        <f>0</f>
        <v>0</v>
      </c>
      <c r="AC79" s="62">
        <f>0</f>
        <v>0</v>
      </c>
      <c r="AD79" s="62">
        <f>0</f>
        <v>0</v>
      </c>
      <c r="AE79" s="62">
        <f>0</f>
        <v>0</v>
      </c>
      <c r="AF79" s="62">
        <f>0</f>
        <v>0</v>
      </c>
      <c r="AG79" s="62">
        <f>0</f>
        <v>0</v>
      </c>
      <c r="AH79" s="62">
        <f>0</f>
        <v>0</v>
      </c>
      <c r="AI79" s="62">
        <f>0</f>
        <v>0</v>
      </c>
      <c r="AJ79" s="62">
        <f>0</f>
        <v>0</v>
      </c>
      <c r="AK79" s="62">
        <f>0</f>
        <v>0</v>
      </c>
      <c r="AL79" s="62">
        <f>0</f>
        <v>0</v>
      </c>
      <c r="AM79" s="63">
        <f>0</f>
        <v>0</v>
      </c>
    </row>
    <row r="80" spans="1:39" ht="25.5" customHeight="1" outlineLevel="2">
      <c r="A80" s="52" t="s">
        <v>201</v>
      </c>
      <c r="B80" s="39"/>
      <c r="C80" s="623" t="s">
        <v>270</v>
      </c>
      <c r="D80" s="623"/>
      <c r="E80" s="623"/>
      <c r="F80" s="105">
        <f>0</f>
        <v>0</v>
      </c>
      <c r="G80" s="59">
        <f>157323</f>
        <v>157323</v>
      </c>
      <c r="H80" s="59">
        <f>431774</f>
        <v>431774</v>
      </c>
      <c r="I80" s="60">
        <f>414255</f>
        <v>414255</v>
      </c>
      <c r="J80" s="61">
        <f>196000</f>
        <v>196000</v>
      </c>
      <c r="K80" s="62">
        <f>0</f>
        <v>0</v>
      </c>
      <c r="L80" s="62">
        <f>0</f>
        <v>0</v>
      </c>
      <c r="M80" s="62">
        <f>0</f>
        <v>0</v>
      </c>
      <c r="N80" s="62">
        <f>0</f>
        <v>0</v>
      </c>
      <c r="O80" s="62">
        <f>0</f>
        <v>0</v>
      </c>
      <c r="P80" s="62">
        <f>0</f>
        <v>0</v>
      </c>
      <c r="Q80" s="62">
        <f>0</f>
        <v>0</v>
      </c>
      <c r="R80" s="62">
        <f>0</f>
        <v>0</v>
      </c>
      <c r="S80" s="62">
        <f>0</f>
        <v>0</v>
      </c>
      <c r="T80" s="62">
        <f>0</f>
        <v>0</v>
      </c>
      <c r="U80" s="62">
        <f>0</f>
        <v>0</v>
      </c>
      <c r="V80" s="62">
        <f>0</f>
        <v>0</v>
      </c>
      <c r="W80" s="62">
        <f>0</f>
        <v>0</v>
      </c>
      <c r="X80" s="62">
        <f>0</f>
        <v>0</v>
      </c>
      <c r="Y80" s="62">
        <f>0</f>
        <v>0</v>
      </c>
      <c r="Z80" s="62">
        <f>0</f>
        <v>0</v>
      </c>
      <c r="AA80" s="62">
        <f>0</f>
        <v>0</v>
      </c>
      <c r="AB80" s="62">
        <f>0</f>
        <v>0</v>
      </c>
      <c r="AC80" s="62">
        <f>0</f>
        <v>0</v>
      </c>
      <c r="AD80" s="62">
        <f>0</f>
        <v>0</v>
      </c>
      <c r="AE80" s="62">
        <f>0</f>
        <v>0</v>
      </c>
      <c r="AF80" s="62">
        <f>0</f>
        <v>0</v>
      </c>
      <c r="AG80" s="62">
        <f>0</f>
        <v>0</v>
      </c>
      <c r="AH80" s="62">
        <f>0</f>
        <v>0</v>
      </c>
      <c r="AI80" s="62">
        <f>0</f>
        <v>0</v>
      </c>
      <c r="AJ80" s="62">
        <f>0</f>
        <v>0</v>
      </c>
      <c r="AK80" s="62">
        <f>0</f>
        <v>0</v>
      </c>
      <c r="AL80" s="62">
        <f>0</f>
        <v>0</v>
      </c>
      <c r="AM80" s="63">
        <f>0</f>
        <v>0</v>
      </c>
    </row>
    <row r="81" spans="1:39" ht="15" customHeight="1" outlineLevel="2">
      <c r="A81" s="52" t="s">
        <v>135</v>
      </c>
      <c r="B81" s="39"/>
      <c r="C81" s="40"/>
      <c r="D81" s="623" t="s">
        <v>268</v>
      </c>
      <c r="E81" s="623"/>
      <c r="F81" s="105">
        <f>0</f>
        <v>0</v>
      </c>
      <c r="G81" s="59">
        <f>157323</f>
        <v>157323</v>
      </c>
      <c r="H81" s="59">
        <f>431774</f>
        <v>431774</v>
      </c>
      <c r="I81" s="60">
        <f>414255</f>
        <v>414255</v>
      </c>
      <c r="J81" s="61">
        <f>196000</f>
        <v>196000</v>
      </c>
      <c r="K81" s="62">
        <f>0</f>
        <v>0</v>
      </c>
      <c r="L81" s="62">
        <f>0</f>
        <v>0</v>
      </c>
      <c r="M81" s="62">
        <f>0</f>
        <v>0</v>
      </c>
      <c r="N81" s="62">
        <f>0</f>
        <v>0</v>
      </c>
      <c r="O81" s="62">
        <f>0</f>
        <v>0</v>
      </c>
      <c r="P81" s="62">
        <f>0</f>
        <v>0</v>
      </c>
      <c r="Q81" s="62">
        <f>0</f>
        <v>0</v>
      </c>
      <c r="R81" s="62">
        <f>0</f>
        <v>0</v>
      </c>
      <c r="S81" s="62">
        <f>0</f>
        <v>0</v>
      </c>
      <c r="T81" s="62">
        <f>0</f>
        <v>0</v>
      </c>
      <c r="U81" s="62">
        <f>0</f>
        <v>0</v>
      </c>
      <c r="V81" s="62">
        <f>0</f>
        <v>0</v>
      </c>
      <c r="W81" s="62">
        <f>0</f>
        <v>0</v>
      </c>
      <c r="X81" s="62">
        <f>0</f>
        <v>0</v>
      </c>
      <c r="Y81" s="62">
        <f>0</f>
        <v>0</v>
      </c>
      <c r="Z81" s="62">
        <f>0</f>
        <v>0</v>
      </c>
      <c r="AA81" s="62">
        <f>0</f>
        <v>0</v>
      </c>
      <c r="AB81" s="62">
        <f>0</f>
        <v>0</v>
      </c>
      <c r="AC81" s="62">
        <f>0</f>
        <v>0</v>
      </c>
      <c r="AD81" s="62">
        <f>0</f>
        <v>0</v>
      </c>
      <c r="AE81" s="62">
        <f>0</f>
        <v>0</v>
      </c>
      <c r="AF81" s="62">
        <f>0</f>
        <v>0</v>
      </c>
      <c r="AG81" s="62">
        <f>0</f>
        <v>0</v>
      </c>
      <c r="AH81" s="62">
        <f>0</f>
        <v>0</v>
      </c>
      <c r="AI81" s="62">
        <f>0</f>
        <v>0</v>
      </c>
      <c r="AJ81" s="62">
        <f>0</f>
        <v>0</v>
      </c>
      <c r="AK81" s="62">
        <f>0</f>
        <v>0</v>
      </c>
      <c r="AL81" s="62">
        <f>0</f>
        <v>0</v>
      </c>
      <c r="AM81" s="63">
        <f>0</f>
        <v>0</v>
      </c>
    </row>
    <row r="82" spans="1:39" ht="25.5" customHeight="1" outlineLevel="2">
      <c r="A82" s="52" t="s">
        <v>137</v>
      </c>
      <c r="B82" s="39"/>
      <c r="C82" s="40"/>
      <c r="D82" s="40"/>
      <c r="E82" s="102" t="s">
        <v>271</v>
      </c>
      <c r="F82" s="105">
        <f>0</f>
        <v>0</v>
      </c>
      <c r="G82" s="59">
        <f>157323</f>
        <v>157323</v>
      </c>
      <c r="H82" s="59">
        <f>431774</f>
        <v>431774</v>
      </c>
      <c r="I82" s="60">
        <f>414255</f>
        <v>414255</v>
      </c>
      <c r="J82" s="61">
        <f>196000</f>
        <v>196000</v>
      </c>
      <c r="K82" s="62">
        <f>0</f>
        <v>0</v>
      </c>
      <c r="L82" s="62">
        <f>0</f>
        <v>0</v>
      </c>
      <c r="M82" s="62">
        <f>0</f>
        <v>0</v>
      </c>
      <c r="N82" s="62">
        <f>0</f>
        <v>0</v>
      </c>
      <c r="O82" s="62">
        <f>0</f>
        <v>0</v>
      </c>
      <c r="P82" s="62">
        <f>0</f>
        <v>0</v>
      </c>
      <c r="Q82" s="62">
        <f>0</f>
        <v>0</v>
      </c>
      <c r="R82" s="62">
        <f>0</f>
        <v>0</v>
      </c>
      <c r="S82" s="62">
        <f>0</f>
        <v>0</v>
      </c>
      <c r="T82" s="62">
        <f>0</f>
        <v>0</v>
      </c>
      <c r="U82" s="62">
        <f>0</f>
        <v>0</v>
      </c>
      <c r="V82" s="62">
        <f>0</f>
        <v>0</v>
      </c>
      <c r="W82" s="62">
        <f>0</f>
        <v>0</v>
      </c>
      <c r="X82" s="62">
        <f>0</f>
        <v>0</v>
      </c>
      <c r="Y82" s="62">
        <f>0</f>
        <v>0</v>
      </c>
      <c r="Z82" s="62">
        <f>0</f>
        <v>0</v>
      </c>
      <c r="AA82" s="62">
        <f>0</f>
        <v>0</v>
      </c>
      <c r="AB82" s="62">
        <f>0</f>
        <v>0</v>
      </c>
      <c r="AC82" s="62">
        <f>0</f>
        <v>0</v>
      </c>
      <c r="AD82" s="62">
        <f>0</f>
        <v>0</v>
      </c>
      <c r="AE82" s="62">
        <f>0</f>
        <v>0</v>
      </c>
      <c r="AF82" s="62">
        <f>0</f>
        <v>0</v>
      </c>
      <c r="AG82" s="62">
        <f>0</f>
        <v>0</v>
      </c>
      <c r="AH82" s="62">
        <f>0</f>
        <v>0</v>
      </c>
      <c r="AI82" s="62">
        <f>0</f>
        <v>0</v>
      </c>
      <c r="AJ82" s="62">
        <f>0</f>
        <v>0</v>
      </c>
      <c r="AK82" s="62">
        <f>0</f>
        <v>0</v>
      </c>
      <c r="AL82" s="62">
        <f>0</f>
        <v>0</v>
      </c>
      <c r="AM82" s="63">
        <f>0</f>
        <v>0</v>
      </c>
    </row>
    <row r="83" spans="1:39" ht="25.5" customHeight="1" outlineLevel="2">
      <c r="A83" s="52" t="s">
        <v>202</v>
      </c>
      <c r="B83" s="39"/>
      <c r="C83" s="623" t="s">
        <v>272</v>
      </c>
      <c r="D83" s="623"/>
      <c r="E83" s="623"/>
      <c r="F83" s="105">
        <f>182966.04</f>
        <v>182966.04</v>
      </c>
      <c r="G83" s="59">
        <f>194043.54</f>
        <v>194043.54</v>
      </c>
      <c r="H83" s="59">
        <f>318803.51</f>
        <v>318803.51</v>
      </c>
      <c r="I83" s="60">
        <f>304034.2</f>
        <v>304034.2</v>
      </c>
      <c r="J83" s="61">
        <f>16800</f>
        <v>16800</v>
      </c>
      <c r="K83" s="62">
        <f>316789.29</f>
        <v>316789.29</v>
      </c>
      <c r="L83" s="62">
        <f>174221.8</f>
        <v>174221.8</v>
      </c>
      <c r="M83" s="62">
        <f>0</f>
        <v>0</v>
      </c>
      <c r="N83" s="62">
        <f>0</f>
        <v>0</v>
      </c>
      <c r="O83" s="62">
        <f>0</f>
        <v>0</v>
      </c>
      <c r="P83" s="62">
        <f>0</f>
        <v>0</v>
      </c>
      <c r="Q83" s="62">
        <f>0</f>
        <v>0</v>
      </c>
      <c r="R83" s="62">
        <f>0</f>
        <v>0</v>
      </c>
      <c r="S83" s="62">
        <f>0</f>
        <v>0</v>
      </c>
      <c r="T83" s="62">
        <f>0</f>
        <v>0</v>
      </c>
      <c r="U83" s="62">
        <f>0</f>
        <v>0</v>
      </c>
      <c r="V83" s="62">
        <f>0</f>
        <v>0</v>
      </c>
      <c r="W83" s="62">
        <f>0</f>
        <v>0</v>
      </c>
      <c r="X83" s="62">
        <f>0</f>
        <v>0</v>
      </c>
      <c r="Y83" s="62">
        <f>0</f>
        <v>0</v>
      </c>
      <c r="Z83" s="62">
        <f>0</f>
        <v>0</v>
      </c>
      <c r="AA83" s="62">
        <f>0</f>
        <v>0</v>
      </c>
      <c r="AB83" s="62">
        <f>0</f>
        <v>0</v>
      </c>
      <c r="AC83" s="62">
        <f>0</f>
        <v>0</v>
      </c>
      <c r="AD83" s="62">
        <f>0</f>
        <v>0</v>
      </c>
      <c r="AE83" s="62">
        <f>0</f>
        <v>0</v>
      </c>
      <c r="AF83" s="62">
        <f>0</f>
        <v>0</v>
      </c>
      <c r="AG83" s="62">
        <f>0</f>
        <v>0</v>
      </c>
      <c r="AH83" s="62">
        <f>0</f>
        <v>0</v>
      </c>
      <c r="AI83" s="62">
        <f>0</f>
        <v>0</v>
      </c>
      <c r="AJ83" s="62">
        <f>0</f>
        <v>0</v>
      </c>
      <c r="AK83" s="62">
        <f>0</f>
        <v>0</v>
      </c>
      <c r="AL83" s="62">
        <f>0</f>
        <v>0</v>
      </c>
      <c r="AM83" s="63">
        <f>0</f>
        <v>0</v>
      </c>
    </row>
    <row r="84" spans="1:39" ht="15" customHeight="1" outlineLevel="2">
      <c r="A84" s="52" t="s">
        <v>140</v>
      </c>
      <c r="B84" s="39"/>
      <c r="C84" s="40"/>
      <c r="D84" s="623" t="s">
        <v>274</v>
      </c>
      <c r="E84" s="623"/>
      <c r="F84" s="105">
        <f>182966.04</f>
        <v>182966.04</v>
      </c>
      <c r="G84" s="59">
        <f>194043.54</f>
        <v>194043.54</v>
      </c>
      <c r="H84" s="59">
        <f>318803.51</f>
        <v>318803.51</v>
      </c>
      <c r="I84" s="60">
        <f>304034.2</f>
        <v>304034.2</v>
      </c>
      <c r="J84" s="61">
        <f>14280</f>
        <v>14280</v>
      </c>
      <c r="K84" s="62">
        <f>262214.96</f>
        <v>262214.96</v>
      </c>
      <c r="L84" s="62">
        <f>147383.61</f>
        <v>147383.61</v>
      </c>
      <c r="M84" s="62">
        <f>0</f>
        <v>0</v>
      </c>
      <c r="N84" s="62">
        <f>0</f>
        <v>0</v>
      </c>
      <c r="O84" s="62">
        <f>0</f>
        <v>0</v>
      </c>
      <c r="P84" s="62">
        <f>0</f>
        <v>0</v>
      </c>
      <c r="Q84" s="62">
        <f>0</f>
        <v>0</v>
      </c>
      <c r="R84" s="62">
        <f>0</f>
        <v>0</v>
      </c>
      <c r="S84" s="62">
        <f>0</f>
        <v>0</v>
      </c>
      <c r="T84" s="62">
        <f>0</f>
        <v>0</v>
      </c>
      <c r="U84" s="62">
        <f>0</f>
        <v>0</v>
      </c>
      <c r="V84" s="62">
        <f>0</f>
        <v>0</v>
      </c>
      <c r="W84" s="62">
        <f>0</f>
        <v>0</v>
      </c>
      <c r="X84" s="62">
        <f>0</f>
        <v>0</v>
      </c>
      <c r="Y84" s="62">
        <f>0</f>
        <v>0</v>
      </c>
      <c r="Z84" s="62">
        <f>0</f>
        <v>0</v>
      </c>
      <c r="AA84" s="62">
        <f>0</f>
        <v>0</v>
      </c>
      <c r="AB84" s="62">
        <f>0</f>
        <v>0</v>
      </c>
      <c r="AC84" s="62">
        <f>0</f>
        <v>0</v>
      </c>
      <c r="AD84" s="62">
        <f>0</f>
        <v>0</v>
      </c>
      <c r="AE84" s="62">
        <f>0</f>
        <v>0</v>
      </c>
      <c r="AF84" s="62">
        <f>0</f>
        <v>0</v>
      </c>
      <c r="AG84" s="62">
        <f>0</f>
        <v>0</v>
      </c>
      <c r="AH84" s="62">
        <f>0</f>
        <v>0</v>
      </c>
      <c r="AI84" s="62">
        <f>0</f>
        <v>0</v>
      </c>
      <c r="AJ84" s="62">
        <f>0</f>
        <v>0</v>
      </c>
      <c r="AK84" s="62">
        <f>0</f>
        <v>0</v>
      </c>
      <c r="AL84" s="62">
        <f>0</f>
        <v>0</v>
      </c>
      <c r="AM84" s="63">
        <f>0</f>
        <v>0</v>
      </c>
    </row>
    <row r="85" spans="1:39" ht="25.5" customHeight="1" outlineLevel="2">
      <c r="A85" s="52" t="s">
        <v>142</v>
      </c>
      <c r="B85" s="39"/>
      <c r="C85" s="40"/>
      <c r="D85" s="623" t="s">
        <v>273</v>
      </c>
      <c r="E85" s="623"/>
      <c r="F85" s="105">
        <f>182966.04</f>
        <v>182966.04</v>
      </c>
      <c r="G85" s="59">
        <f>194043.54</f>
        <v>194043.54</v>
      </c>
      <c r="H85" s="59">
        <f>318803.51</f>
        <v>318803.51</v>
      </c>
      <c r="I85" s="60">
        <f>304034.2</f>
        <v>304034.2</v>
      </c>
      <c r="J85" s="61">
        <f>14280</f>
        <v>14280</v>
      </c>
      <c r="K85" s="62">
        <f>0</f>
        <v>0</v>
      </c>
      <c r="L85" s="62">
        <f>0</f>
        <v>0</v>
      </c>
      <c r="M85" s="62">
        <f>0</f>
        <v>0</v>
      </c>
      <c r="N85" s="62">
        <f>0</f>
        <v>0</v>
      </c>
      <c r="O85" s="62">
        <f>0</f>
        <v>0</v>
      </c>
      <c r="P85" s="62">
        <f>0</f>
        <v>0</v>
      </c>
      <c r="Q85" s="62">
        <f>0</f>
        <v>0</v>
      </c>
      <c r="R85" s="62">
        <f>0</f>
        <v>0</v>
      </c>
      <c r="S85" s="62">
        <f>0</f>
        <v>0</v>
      </c>
      <c r="T85" s="62">
        <f>0</f>
        <v>0</v>
      </c>
      <c r="U85" s="62">
        <f>0</f>
        <v>0</v>
      </c>
      <c r="V85" s="62">
        <f>0</f>
        <v>0</v>
      </c>
      <c r="W85" s="62">
        <f>0</f>
        <v>0</v>
      </c>
      <c r="X85" s="62">
        <f>0</f>
        <v>0</v>
      </c>
      <c r="Y85" s="62">
        <f>0</f>
        <v>0</v>
      </c>
      <c r="Z85" s="62">
        <f>0</f>
        <v>0</v>
      </c>
      <c r="AA85" s="62">
        <f>0</f>
        <v>0</v>
      </c>
      <c r="AB85" s="62">
        <f>0</f>
        <v>0</v>
      </c>
      <c r="AC85" s="62">
        <f>0</f>
        <v>0</v>
      </c>
      <c r="AD85" s="62">
        <f>0</f>
        <v>0</v>
      </c>
      <c r="AE85" s="62">
        <f>0</f>
        <v>0</v>
      </c>
      <c r="AF85" s="62">
        <f>0</f>
        <v>0</v>
      </c>
      <c r="AG85" s="62">
        <f>0</f>
        <v>0</v>
      </c>
      <c r="AH85" s="62">
        <f>0</f>
        <v>0</v>
      </c>
      <c r="AI85" s="62">
        <f>0</f>
        <v>0</v>
      </c>
      <c r="AJ85" s="62">
        <f>0</f>
        <v>0</v>
      </c>
      <c r="AK85" s="62">
        <f>0</f>
        <v>0</v>
      </c>
      <c r="AL85" s="62">
        <f>0</f>
        <v>0</v>
      </c>
      <c r="AM85" s="63">
        <f>0</f>
        <v>0</v>
      </c>
    </row>
    <row r="86" spans="1:39" ht="25.5" customHeight="1" outlineLevel="2">
      <c r="A86" s="52" t="s">
        <v>203</v>
      </c>
      <c r="B86" s="39"/>
      <c r="C86" s="623" t="s">
        <v>275</v>
      </c>
      <c r="D86" s="623"/>
      <c r="E86" s="623"/>
      <c r="F86" s="105">
        <f>209764.87</f>
        <v>209764.87</v>
      </c>
      <c r="G86" s="59">
        <f>285447.25</f>
        <v>285447.25</v>
      </c>
      <c r="H86" s="59">
        <f>559468.05</f>
        <v>559468.05</v>
      </c>
      <c r="I86" s="60">
        <f>524881.5</f>
        <v>524881.5</v>
      </c>
      <c r="J86" s="61">
        <f>0</f>
        <v>0</v>
      </c>
      <c r="K86" s="62">
        <f>0</f>
        <v>0</v>
      </c>
      <c r="L86" s="62">
        <f>0</f>
        <v>0</v>
      </c>
      <c r="M86" s="62">
        <f>0</f>
        <v>0</v>
      </c>
      <c r="N86" s="62">
        <f>0</f>
        <v>0</v>
      </c>
      <c r="O86" s="62">
        <f>0</f>
        <v>0</v>
      </c>
      <c r="P86" s="62">
        <f>0</f>
        <v>0</v>
      </c>
      <c r="Q86" s="62">
        <f>0</f>
        <v>0</v>
      </c>
      <c r="R86" s="62">
        <f>0</f>
        <v>0</v>
      </c>
      <c r="S86" s="62">
        <f>0</f>
        <v>0</v>
      </c>
      <c r="T86" s="62">
        <f>0</f>
        <v>0</v>
      </c>
      <c r="U86" s="62">
        <f>0</f>
        <v>0</v>
      </c>
      <c r="V86" s="62">
        <f>0</f>
        <v>0</v>
      </c>
      <c r="W86" s="62">
        <f>0</f>
        <v>0</v>
      </c>
      <c r="X86" s="62">
        <f>0</f>
        <v>0</v>
      </c>
      <c r="Y86" s="62">
        <f>0</f>
        <v>0</v>
      </c>
      <c r="Z86" s="62">
        <f>0</f>
        <v>0</v>
      </c>
      <c r="AA86" s="62">
        <f>0</f>
        <v>0</v>
      </c>
      <c r="AB86" s="62">
        <f>0</f>
        <v>0</v>
      </c>
      <c r="AC86" s="62">
        <f>0</f>
        <v>0</v>
      </c>
      <c r="AD86" s="62">
        <f>0</f>
        <v>0</v>
      </c>
      <c r="AE86" s="62">
        <f>0</f>
        <v>0</v>
      </c>
      <c r="AF86" s="62">
        <f>0</f>
        <v>0</v>
      </c>
      <c r="AG86" s="62">
        <f>0</f>
        <v>0</v>
      </c>
      <c r="AH86" s="62">
        <f>0</f>
        <v>0</v>
      </c>
      <c r="AI86" s="62">
        <f>0</f>
        <v>0</v>
      </c>
      <c r="AJ86" s="62">
        <f>0</f>
        <v>0</v>
      </c>
      <c r="AK86" s="62">
        <f>0</f>
        <v>0</v>
      </c>
      <c r="AL86" s="62">
        <f>0</f>
        <v>0</v>
      </c>
      <c r="AM86" s="63">
        <f>0</f>
        <v>0</v>
      </c>
    </row>
    <row r="87" spans="1:39" ht="15" customHeight="1" outlineLevel="2">
      <c r="A87" s="52" t="s">
        <v>145</v>
      </c>
      <c r="B87" s="39"/>
      <c r="C87" s="40"/>
      <c r="D87" s="623" t="s">
        <v>276</v>
      </c>
      <c r="E87" s="623"/>
      <c r="F87" s="105">
        <f>209764.87</f>
        <v>209764.87</v>
      </c>
      <c r="G87" s="59">
        <f>285447.25</f>
        <v>285447.25</v>
      </c>
      <c r="H87" s="59">
        <f>559468.05</f>
        <v>559468.05</v>
      </c>
      <c r="I87" s="60">
        <f>524881.5</f>
        <v>524881.5</v>
      </c>
      <c r="J87" s="61">
        <f>0</f>
        <v>0</v>
      </c>
      <c r="K87" s="62">
        <f>0</f>
        <v>0</v>
      </c>
      <c r="L87" s="62">
        <f>0</f>
        <v>0</v>
      </c>
      <c r="M87" s="62">
        <f>0</f>
        <v>0</v>
      </c>
      <c r="N87" s="62">
        <f>0</f>
        <v>0</v>
      </c>
      <c r="O87" s="62">
        <f>0</f>
        <v>0</v>
      </c>
      <c r="P87" s="62">
        <f>0</f>
        <v>0</v>
      </c>
      <c r="Q87" s="62">
        <f>0</f>
        <v>0</v>
      </c>
      <c r="R87" s="62">
        <f>0</f>
        <v>0</v>
      </c>
      <c r="S87" s="62">
        <f>0</f>
        <v>0</v>
      </c>
      <c r="T87" s="62">
        <f>0</f>
        <v>0</v>
      </c>
      <c r="U87" s="62">
        <f>0</f>
        <v>0</v>
      </c>
      <c r="V87" s="62">
        <f>0</f>
        <v>0</v>
      </c>
      <c r="W87" s="62">
        <f>0</f>
        <v>0</v>
      </c>
      <c r="X87" s="62">
        <f>0</f>
        <v>0</v>
      </c>
      <c r="Y87" s="62">
        <f>0</f>
        <v>0</v>
      </c>
      <c r="Z87" s="62">
        <f>0</f>
        <v>0</v>
      </c>
      <c r="AA87" s="62">
        <f>0</f>
        <v>0</v>
      </c>
      <c r="AB87" s="62">
        <f>0</f>
        <v>0</v>
      </c>
      <c r="AC87" s="62">
        <f>0</f>
        <v>0</v>
      </c>
      <c r="AD87" s="62">
        <f>0</f>
        <v>0</v>
      </c>
      <c r="AE87" s="62">
        <f>0</f>
        <v>0</v>
      </c>
      <c r="AF87" s="62">
        <f>0</f>
        <v>0</v>
      </c>
      <c r="AG87" s="62">
        <f>0</f>
        <v>0</v>
      </c>
      <c r="AH87" s="62">
        <f>0</f>
        <v>0</v>
      </c>
      <c r="AI87" s="62">
        <f>0</f>
        <v>0</v>
      </c>
      <c r="AJ87" s="62">
        <f>0</f>
        <v>0</v>
      </c>
      <c r="AK87" s="62">
        <f>0</f>
        <v>0</v>
      </c>
      <c r="AL87" s="62">
        <f>0</f>
        <v>0</v>
      </c>
      <c r="AM87" s="63">
        <f>0</f>
        <v>0</v>
      </c>
    </row>
    <row r="88" spans="1:39" ht="25.5" customHeight="1" outlineLevel="2">
      <c r="A88" s="52" t="s">
        <v>147</v>
      </c>
      <c r="B88" s="39"/>
      <c r="C88" s="40"/>
      <c r="D88" s="623" t="s">
        <v>277</v>
      </c>
      <c r="E88" s="623"/>
      <c r="F88" s="105">
        <f>209764.87</f>
        <v>209764.87</v>
      </c>
      <c r="G88" s="59">
        <f>285447.25</f>
        <v>285447.25</v>
      </c>
      <c r="H88" s="59">
        <f>559468.05</f>
        <v>559468.05</v>
      </c>
      <c r="I88" s="60">
        <f>524881.5</f>
        <v>524881.5</v>
      </c>
      <c r="J88" s="61">
        <f>0</f>
        <v>0</v>
      </c>
      <c r="K88" s="62">
        <f>0</f>
        <v>0</v>
      </c>
      <c r="L88" s="62">
        <f>0</f>
        <v>0</v>
      </c>
      <c r="M88" s="62">
        <f>0</f>
        <v>0</v>
      </c>
      <c r="N88" s="62">
        <f>0</f>
        <v>0</v>
      </c>
      <c r="O88" s="62">
        <f>0</f>
        <v>0</v>
      </c>
      <c r="P88" s="62">
        <f>0</f>
        <v>0</v>
      </c>
      <c r="Q88" s="62">
        <f>0</f>
        <v>0</v>
      </c>
      <c r="R88" s="62">
        <f>0</f>
        <v>0</v>
      </c>
      <c r="S88" s="62">
        <f>0</f>
        <v>0</v>
      </c>
      <c r="T88" s="62">
        <f>0</f>
        <v>0</v>
      </c>
      <c r="U88" s="62">
        <f>0</f>
        <v>0</v>
      </c>
      <c r="V88" s="62">
        <f>0</f>
        <v>0</v>
      </c>
      <c r="W88" s="62">
        <f>0</f>
        <v>0</v>
      </c>
      <c r="X88" s="62">
        <f>0</f>
        <v>0</v>
      </c>
      <c r="Y88" s="62">
        <f>0</f>
        <v>0</v>
      </c>
      <c r="Z88" s="62">
        <f>0</f>
        <v>0</v>
      </c>
      <c r="AA88" s="62">
        <f>0</f>
        <v>0</v>
      </c>
      <c r="AB88" s="62">
        <f>0</f>
        <v>0</v>
      </c>
      <c r="AC88" s="62">
        <f>0</f>
        <v>0</v>
      </c>
      <c r="AD88" s="62">
        <f>0</f>
        <v>0</v>
      </c>
      <c r="AE88" s="62">
        <f>0</f>
        <v>0</v>
      </c>
      <c r="AF88" s="62">
        <f>0</f>
        <v>0</v>
      </c>
      <c r="AG88" s="62">
        <f>0</f>
        <v>0</v>
      </c>
      <c r="AH88" s="62">
        <f>0</f>
        <v>0</v>
      </c>
      <c r="AI88" s="62">
        <f>0</f>
        <v>0</v>
      </c>
      <c r="AJ88" s="62">
        <f>0</f>
        <v>0</v>
      </c>
      <c r="AK88" s="62">
        <f>0</f>
        <v>0</v>
      </c>
      <c r="AL88" s="62">
        <f>0</f>
        <v>0</v>
      </c>
      <c r="AM88" s="63">
        <f>0</f>
        <v>0</v>
      </c>
    </row>
    <row r="89" spans="1:40" ht="25.5" customHeight="1" outlineLevel="1">
      <c r="A89" s="51">
        <v>13</v>
      </c>
      <c r="B89" s="625" t="s">
        <v>149</v>
      </c>
      <c r="C89" s="626"/>
      <c r="D89" s="626"/>
      <c r="E89" s="626"/>
      <c r="F89" s="108" t="s">
        <v>31</v>
      </c>
      <c r="G89" s="73" t="s">
        <v>31</v>
      </c>
      <c r="H89" s="73" t="s">
        <v>31</v>
      </c>
      <c r="I89" s="74" t="s">
        <v>31</v>
      </c>
      <c r="J89" s="75" t="s">
        <v>31</v>
      </c>
      <c r="K89" s="76" t="s">
        <v>31</v>
      </c>
      <c r="L89" s="76" t="s">
        <v>31</v>
      </c>
      <c r="M89" s="76" t="s">
        <v>31</v>
      </c>
      <c r="N89" s="76" t="s">
        <v>31</v>
      </c>
      <c r="O89" s="76" t="s">
        <v>31</v>
      </c>
      <c r="P89" s="76" t="s">
        <v>31</v>
      </c>
      <c r="Q89" s="76" t="s">
        <v>31</v>
      </c>
      <c r="R89" s="76" t="s">
        <v>31</v>
      </c>
      <c r="S89" s="76" t="s">
        <v>31</v>
      </c>
      <c r="T89" s="76" t="s">
        <v>31</v>
      </c>
      <c r="U89" s="76" t="s">
        <v>31</v>
      </c>
      <c r="V89" s="76" t="s">
        <v>31</v>
      </c>
      <c r="W89" s="76" t="s">
        <v>31</v>
      </c>
      <c r="X89" s="76" t="s">
        <v>31</v>
      </c>
      <c r="Y89" s="76" t="s">
        <v>31</v>
      </c>
      <c r="Z89" s="76" t="s">
        <v>31</v>
      </c>
      <c r="AA89" s="76" t="s">
        <v>31</v>
      </c>
      <c r="AB89" s="76" t="s">
        <v>31</v>
      </c>
      <c r="AC89" s="76" t="s">
        <v>31</v>
      </c>
      <c r="AD89" s="76" t="s">
        <v>31</v>
      </c>
      <c r="AE89" s="76" t="s">
        <v>31</v>
      </c>
      <c r="AF89" s="76" t="s">
        <v>31</v>
      </c>
      <c r="AG89" s="76" t="s">
        <v>31</v>
      </c>
      <c r="AH89" s="76" t="s">
        <v>31</v>
      </c>
      <c r="AI89" s="76" t="s">
        <v>31</v>
      </c>
      <c r="AJ89" s="76" t="s">
        <v>31</v>
      </c>
      <c r="AK89" s="76" t="s">
        <v>31</v>
      </c>
      <c r="AL89" s="76" t="s">
        <v>31</v>
      </c>
      <c r="AM89" s="77" t="s">
        <v>31</v>
      </c>
      <c r="AN89" s="46"/>
    </row>
    <row r="90" spans="1:39" ht="25.5" customHeight="1" outlineLevel="2">
      <c r="A90" s="52" t="s">
        <v>204</v>
      </c>
      <c r="B90" s="39"/>
      <c r="C90" s="623" t="s">
        <v>278</v>
      </c>
      <c r="D90" s="623"/>
      <c r="E90" s="623"/>
      <c r="F90" s="105">
        <f>0</f>
        <v>0</v>
      </c>
      <c r="G90" s="59">
        <f>0</f>
        <v>0</v>
      </c>
      <c r="H90" s="59">
        <f>0</f>
        <v>0</v>
      </c>
      <c r="I90" s="60">
        <f>0</f>
        <v>0</v>
      </c>
      <c r="J90" s="61">
        <f>0</f>
        <v>0</v>
      </c>
      <c r="K90" s="62">
        <f>0</f>
        <v>0</v>
      </c>
      <c r="L90" s="62">
        <f>0</f>
        <v>0</v>
      </c>
      <c r="M90" s="62">
        <f>0</f>
        <v>0</v>
      </c>
      <c r="N90" s="62">
        <f>0</f>
        <v>0</v>
      </c>
      <c r="O90" s="62">
        <f>0</f>
        <v>0</v>
      </c>
      <c r="P90" s="62">
        <f>0</f>
        <v>0</v>
      </c>
      <c r="Q90" s="62">
        <f>0</f>
        <v>0</v>
      </c>
      <c r="R90" s="62">
        <f>0</f>
        <v>0</v>
      </c>
      <c r="S90" s="62">
        <f>0</f>
        <v>0</v>
      </c>
      <c r="T90" s="62">
        <f>0</f>
        <v>0</v>
      </c>
      <c r="U90" s="62">
        <f>0</f>
        <v>0</v>
      </c>
      <c r="V90" s="62">
        <f>0</f>
        <v>0</v>
      </c>
      <c r="W90" s="62">
        <f>0</f>
        <v>0</v>
      </c>
      <c r="X90" s="62">
        <f>0</f>
        <v>0</v>
      </c>
      <c r="Y90" s="62">
        <f>0</f>
        <v>0</v>
      </c>
      <c r="Z90" s="62">
        <f>0</f>
        <v>0</v>
      </c>
      <c r="AA90" s="62">
        <f>0</f>
        <v>0</v>
      </c>
      <c r="AB90" s="62">
        <f>0</f>
        <v>0</v>
      </c>
      <c r="AC90" s="62">
        <f>0</f>
        <v>0</v>
      </c>
      <c r="AD90" s="62">
        <f>0</f>
        <v>0</v>
      </c>
      <c r="AE90" s="62">
        <f>0</f>
        <v>0</v>
      </c>
      <c r="AF90" s="62">
        <f>0</f>
        <v>0</v>
      </c>
      <c r="AG90" s="62">
        <f>0</f>
        <v>0</v>
      </c>
      <c r="AH90" s="62">
        <f>0</f>
        <v>0</v>
      </c>
      <c r="AI90" s="62">
        <f>0</f>
        <v>0</v>
      </c>
      <c r="AJ90" s="62">
        <f>0</f>
        <v>0</v>
      </c>
      <c r="AK90" s="62">
        <f>0</f>
        <v>0</v>
      </c>
      <c r="AL90" s="62">
        <f>0</f>
        <v>0</v>
      </c>
      <c r="AM90" s="63">
        <f>0</f>
        <v>0</v>
      </c>
    </row>
    <row r="91" spans="1:39" ht="25.5" customHeight="1" outlineLevel="2">
      <c r="A91" s="52" t="s">
        <v>205</v>
      </c>
      <c r="B91" s="39"/>
      <c r="C91" s="623" t="s">
        <v>279</v>
      </c>
      <c r="D91" s="623"/>
      <c r="E91" s="623"/>
      <c r="F91" s="105">
        <f>0</f>
        <v>0</v>
      </c>
      <c r="G91" s="59">
        <f>0</f>
        <v>0</v>
      </c>
      <c r="H91" s="59">
        <f>0</f>
        <v>0</v>
      </c>
      <c r="I91" s="60">
        <f>0</f>
        <v>0</v>
      </c>
      <c r="J91" s="61">
        <f>0</f>
        <v>0</v>
      </c>
      <c r="K91" s="62">
        <f>0</f>
        <v>0</v>
      </c>
      <c r="L91" s="62">
        <f>0</f>
        <v>0</v>
      </c>
      <c r="M91" s="62">
        <f>0</f>
        <v>0</v>
      </c>
      <c r="N91" s="62">
        <f>0</f>
        <v>0</v>
      </c>
      <c r="O91" s="62">
        <f>0</f>
        <v>0</v>
      </c>
      <c r="P91" s="62">
        <f>0</f>
        <v>0</v>
      </c>
      <c r="Q91" s="62">
        <f>0</f>
        <v>0</v>
      </c>
      <c r="R91" s="62">
        <f>0</f>
        <v>0</v>
      </c>
      <c r="S91" s="62">
        <f>0</f>
        <v>0</v>
      </c>
      <c r="T91" s="62">
        <f>0</f>
        <v>0</v>
      </c>
      <c r="U91" s="62">
        <f>0</f>
        <v>0</v>
      </c>
      <c r="V91" s="62">
        <f>0</f>
        <v>0</v>
      </c>
      <c r="W91" s="62">
        <f>0</f>
        <v>0</v>
      </c>
      <c r="X91" s="62">
        <f>0</f>
        <v>0</v>
      </c>
      <c r="Y91" s="62">
        <f>0</f>
        <v>0</v>
      </c>
      <c r="Z91" s="62">
        <f>0</f>
        <v>0</v>
      </c>
      <c r="AA91" s="62">
        <f>0</f>
        <v>0</v>
      </c>
      <c r="AB91" s="62">
        <f>0</f>
        <v>0</v>
      </c>
      <c r="AC91" s="62">
        <f>0</f>
        <v>0</v>
      </c>
      <c r="AD91" s="62">
        <f>0</f>
        <v>0</v>
      </c>
      <c r="AE91" s="62">
        <f>0</f>
        <v>0</v>
      </c>
      <c r="AF91" s="62">
        <f>0</f>
        <v>0</v>
      </c>
      <c r="AG91" s="62">
        <f>0</f>
        <v>0</v>
      </c>
      <c r="AH91" s="62">
        <f>0</f>
        <v>0</v>
      </c>
      <c r="AI91" s="62">
        <f>0</f>
        <v>0</v>
      </c>
      <c r="AJ91" s="62">
        <f>0</f>
        <v>0</v>
      </c>
      <c r="AK91" s="62">
        <f>0</f>
        <v>0</v>
      </c>
      <c r="AL91" s="62">
        <f>0</f>
        <v>0</v>
      </c>
      <c r="AM91" s="63">
        <f>0</f>
        <v>0</v>
      </c>
    </row>
    <row r="92" spans="1:39" ht="25.5" customHeight="1" outlineLevel="2">
      <c r="A92" s="52" t="s">
        <v>206</v>
      </c>
      <c r="B92" s="39"/>
      <c r="C92" s="623" t="s">
        <v>280</v>
      </c>
      <c r="D92" s="623"/>
      <c r="E92" s="623"/>
      <c r="F92" s="105">
        <f>0</f>
        <v>0</v>
      </c>
      <c r="G92" s="59">
        <f>0</f>
        <v>0</v>
      </c>
      <c r="H92" s="59">
        <f>0</f>
        <v>0</v>
      </c>
      <c r="I92" s="60">
        <f>0</f>
        <v>0</v>
      </c>
      <c r="J92" s="61">
        <f>0</f>
        <v>0</v>
      </c>
      <c r="K92" s="62">
        <f>0</f>
        <v>0</v>
      </c>
      <c r="L92" s="62">
        <f>0</f>
        <v>0</v>
      </c>
      <c r="M92" s="62">
        <f>0</f>
        <v>0</v>
      </c>
      <c r="N92" s="62">
        <f>0</f>
        <v>0</v>
      </c>
      <c r="O92" s="62">
        <f>0</f>
        <v>0</v>
      </c>
      <c r="P92" s="62">
        <f>0</f>
        <v>0</v>
      </c>
      <c r="Q92" s="62">
        <f>0</f>
        <v>0</v>
      </c>
      <c r="R92" s="62">
        <f>0</f>
        <v>0</v>
      </c>
      <c r="S92" s="62">
        <f>0</f>
        <v>0</v>
      </c>
      <c r="T92" s="62">
        <f>0</f>
        <v>0</v>
      </c>
      <c r="U92" s="62">
        <f>0</f>
        <v>0</v>
      </c>
      <c r="V92" s="62">
        <f>0</f>
        <v>0</v>
      </c>
      <c r="W92" s="62">
        <f>0</f>
        <v>0</v>
      </c>
      <c r="X92" s="62">
        <f>0</f>
        <v>0</v>
      </c>
      <c r="Y92" s="62">
        <f>0</f>
        <v>0</v>
      </c>
      <c r="Z92" s="62">
        <f>0</f>
        <v>0</v>
      </c>
      <c r="AA92" s="62">
        <f>0</f>
        <v>0</v>
      </c>
      <c r="AB92" s="62">
        <f>0</f>
        <v>0</v>
      </c>
      <c r="AC92" s="62">
        <f>0</f>
        <v>0</v>
      </c>
      <c r="AD92" s="62">
        <f>0</f>
        <v>0</v>
      </c>
      <c r="AE92" s="62">
        <f>0</f>
        <v>0</v>
      </c>
      <c r="AF92" s="62">
        <f>0</f>
        <v>0</v>
      </c>
      <c r="AG92" s="62">
        <f>0</f>
        <v>0</v>
      </c>
      <c r="AH92" s="62">
        <f>0</f>
        <v>0</v>
      </c>
      <c r="AI92" s="62">
        <f>0</f>
        <v>0</v>
      </c>
      <c r="AJ92" s="62">
        <f>0</f>
        <v>0</v>
      </c>
      <c r="AK92" s="62">
        <f>0</f>
        <v>0</v>
      </c>
      <c r="AL92" s="62">
        <f>0</f>
        <v>0</v>
      </c>
      <c r="AM92" s="63">
        <f>0</f>
        <v>0</v>
      </c>
    </row>
    <row r="93" spans="1:39" ht="25.5" customHeight="1" outlineLevel="2">
      <c r="A93" s="52" t="s">
        <v>207</v>
      </c>
      <c r="B93" s="39"/>
      <c r="C93" s="623" t="s">
        <v>281</v>
      </c>
      <c r="D93" s="623"/>
      <c r="E93" s="623"/>
      <c r="F93" s="105">
        <f>0</f>
        <v>0</v>
      </c>
      <c r="G93" s="59">
        <f>0</f>
        <v>0</v>
      </c>
      <c r="H93" s="59">
        <f>0</f>
        <v>0</v>
      </c>
      <c r="I93" s="60">
        <f>0</f>
        <v>0</v>
      </c>
      <c r="J93" s="61">
        <f>0</f>
        <v>0</v>
      </c>
      <c r="K93" s="62">
        <f>0</f>
        <v>0</v>
      </c>
      <c r="L93" s="62">
        <f>0</f>
        <v>0</v>
      </c>
      <c r="M93" s="62">
        <f>0</f>
        <v>0</v>
      </c>
      <c r="N93" s="62">
        <f>0</f>
        <v>0</v>
      </c>
      <c r="O93" s="62">
        <f>0</f>
        <v>0</v>
      </c>
      <c r="P93" s="62">
        <f>0</f>
        <v>0</v>
      </c>
      <c r="Q93" s="62">
        <f>0</f>
        <v>0</v>
      </c>
      <c r="R93" s="62">
        <f>0</f>
        <v>0</v>
      </c>
      <c r="S93" s="62">
        <f>0</f>
        <v>0</v>
      </c>
      <c r="T93" s="62">
        <f>0</f>
        <v>0</v>
      </c>
      <c r="U93" s="62">
        <f>0</f>
        <v>0</v>
      </c>
      <c r="V93" s="62">
        <f>0</f>
        <v>0</v>
      </c>
      <c r="W93" s="62">
        <f>0</f>
        <v>0</v>
      </c>
      <c r="X93" s="62">
        <f>0</f>
        <v>0</v>
      </c>
      <c r="Y93" s="62">
        <f>0</f>
        <v>0</v>
      </c>
      <c r="Z93" s="62">
        <f>0</f>
        <v>0</v>
      </c>
      <c r="AA93" s="62">
        <f>0</f>
        <v>0</v>
      </c>
      <c r="AB93" s="62">
        <f>0</f>
        <v>0</v>
      </c>
      <c r="AC93" s="62">
        <f>0</f>
        <v>0</v>
      </c>
      <c r="AD93" s="62">
        <f>0</f>
        <v>0</v>
      </c>
      <c r="AE93" s="62">
        <f>0</f>
        <v>0</v>
      </c>
      <c r="AF93" s="62">
        <f>0</f>
        <v>0</v>
      </c>
      <c r="AG93" s="62">
        <f>0</f>
        <v>0</v>
      </c>
      <c r="AH93" s="62">
        <f>0</f>
        <v>0</v>
      </c>
      <c r="AI93" s="62">
        <f>0</f>
        <v>0</v>
      </c>
      <c r="AJ93" s="62">
        <f>0</f>
        <v>0</v>
      </c>
      <c r="AK93" s="62">
        <f>0</f>
        <v>0</v>
      </c>
      <c r="AL93" s="62">
        <f>0</f>
        <v>0</v>
      </c>
      <c r="AM93" s="63">
        <f>0</f>
        <v>0</v>
      </c>
    </row>
    <row r="94" spans="1:39" ht="25.5" customHeight="1" outlineLevel="2">
      <c r="A94" s="52" t="s">
        <v>208</v>
      </c>
      <c r="B94" s="39"/>
      <c r="C94" s="623" t="s">
        <v>282</v>
      </c>
      <c r="D94" s="623"/>
      <c r="E94" s="623"/>
      <c r="F94" s="105">
        <f>0</f>
        <v>0</v>
      </c>
      <c r="G94" s="59">
        <f>0</f>
        <v>0</v>
      </c>
      <c r="H94" s="59">
        <f>0</f>
        <v>0</v>
      </c>
      <c r="I94" s="60">
        <f>0</f>
        <v>0</v>
      </c>
      <c r="J94" s="61">
        <f>0</f>
        <v>0</v>
      </c>
      <c r="K94" s="62">
        <f>0</f>
        <v>0</v>
      </c>
      <c r="L94" s="62">
        <f>0</f>
        <v>0</v>
      </c>
      <c r="M94" s="62">
        <f>0</f>
        <v>0</v>
      </c>
      <c r="N94" s="62">
        <f>0</f>
        <v>0</v>
      </c>
      <c r="O94" s="62">
        <f>0</f>
        <v>0</v>
      </c>
      <c r="P94" s="62">
        <f>0</f>
        <v>0</v>
      </c>
      <c r="Q94" s="62">
        <f>0</f>
        <v>0</v>
      </c>
      <c r="R94" s="62">
        <f>0</f>
        <v>0</v>
      </c>
      <c r="S94" s="62">
        <f>0</f>
        <v>0</v>
      </c>
      <c r="T94" s="62">
        <f>0</f>
        <v>0</v>
      </c>
      <c r="U94" s="62">
        <f>0</f>
        <v>0</v>
      </c>
      <c r="V94" s="62">
        <f>0</f>
        <v>0</v>
      </c>
      <c r="W94" s="62">
        <f>0</f>
        <v>0</v>
      </c>
      <c r="X94" s="62">
        <f>0</f>
        <v>0</v>
      </c>
      <c r="Y94" s="62">
        <f>0</f>
        <v>0</v>
      </c>
      <c r="Z94" s="62">
        <f>0</f>
        <v>0</v>
      </c>
      <c r="AA94" s="62">
        <f>0</f>
        <v>0</v>
      </c>
      <c r="AB94" s="62">
        <f>0</f>
        <v>0</v>
      </c>
      <c r="AC94" s="62">
        <f>0</f>
        <v>0</v>
      </c>
      <c r="AD94" s="62">
        <f>0</f>
        <v>0</v>
      </c>
      <c r="AE94" s="62">
        <f>0</f>
        <v>0</v>
      </c>
      <c r="AF94" s="62">
        <f>0</f>
        <v>0</v>
      </c>
      <c r="AG94" s="62">
        <f>0</f>
        <v>0</v>
      </c>
      <c r="AH94" s="62">
        <f>0</f>
        <v>0</v>
      </c>
      <c r="AI94" s="62">
        <f>0</f>
        <v>0</v>
      </c>
      <c r="AJ94" s="62">
        <f>0</f>
        <v>0</v>
      </c>
      <c r="AK94" s="62">
        <f>0</f>
        <v>0</v>
      </c>
      <c r="AL94" s="62">
        <f>0</f>
        <v>0</v>
      </c>
      <c r="AM94" s="63">
        <f>0</f>
        <v>0</v>
      </c>
    </row>
    <row r="95" spans="1:39" ht="25.5" customHeight="1" outlineLevel="2">
      <c r="A95" s="52" t="s">
        <v>209</v>
      </c>
      <c r="B95" s="39"/>
      <c r="C95" s="623" t="s">
        <v>283</v>
      </c>
      <c r="D95" s="623"/>
      <c r="E95" s="623"/>
      <c r="F95" s="105">
        <f>0</f>
        <v>0</v>
      </c>
      <c r="G95" s="59">
        <f>0</f>
        <v>0</v>
      </c>
      <c r="H95" s="59">
        <f>0</f>
        <v>0</v>
      </c>
      <c r="I95" s="60">
        <f>0</f>
        <v>0</v>
      </c>
      <c r="J95" s="61">
        <f>0</f>
        <v>0</v>
      </c>
      <c r="K95" s="62">
        <f>0</f>
        <v>0</v>
      </c>
      <c r="L95" s="62">
        <f>0</f>
        <v>0</v>
      </c>
      <c r="M95" s="62">
        <f>0</f>
        <v>0</v>
      </c>
      <c r="N95" s="62">
        <f>0</f>
        <v>0</v>
      </c>
      <c r="O95" s="62">
        <f>0</f>
        <v>0</v>
      </c>
      <c r="P95" s="62">
        <f>0</f>
        <v>0</v>
      </c>
      <c r="Q95" s="62">
        <f>0</f>
        <v>0</v>
      </c>
      <c r="R95" s="62">
        <f>0</f>
        <v>0</v>
      </c>
      <c r="S95" s="62">
        <f>0</f>
        <v>0</v>
      </c>
      <c r="T95" s="62">
        <f>0</f>
        <v>0</v>
      </c>
      <c r="U95" s="62">
        <f>0</f>
        <v>0</v>
      </c>
      <c r="V95" s="62">
        <f>0</f>
        <v>0</v>
      </c>
      <c r="W95" s="62">
        <f>0</f>
        <v>0</v>
      </c>
      <c r="X95" s="62">
        <f>0</f>
        <v>0</v>
      </c>
      <c r="Y95" s="62">
        <f>0</f>
        <v>0</v>
      </c>
      <c r="Z95" s="62">
        <f>0</f>
        <v>0</v>
      </c>
      <c r="AA95" s="62">
        <f>0</f>
        <v>0</v>
      </c>
      <c r="AB95" s="62">
        <f>0</f>
        <v>0</v>
      </c>
      <c r="AC95" s="62">
        <f>0</f>
        <v>0</v>
      </c>
      <c r="AD95" s="62">
        <f>0</f>
        <v>0</v>
      </c>
      <c r="AE95" s="62">
        <f>0</f>
        <v>0</v>
      </c>
      <c r="AF95" s="62">
        <f>0</f>
        <v>0</v>
      </c>
      <c r="AG95" s="62">
        <f>0</f>
        <v>0</v>
      </c>
      <c r="AH95" s="62">
        <f>0</f>
        <v>0</v>
      </c>
      <c r="AI95" s="62">
        <f>0</f>
        <v>0</v>
      </c>
      <c r="AJ95" s="62">
        <f>0</f>
        <v>0</v>
      </c>
      <c r="AK95" s="62">
        <f>0</f>
        <v>0</v>
      </c>
      <c r="AL95" s="62">
        <f>0</f>
        <v>0</v>
      </c>
      <c r="AM95" s="63">
        <f>0</f>
        <v>0</v>
      </c>
    </row>
    <row r="96" spans="1:39" ht="25.5" customHeight="1" outlineLevel="2">
      <c r="A96" s="52" t="s">
        <v>210</v>
      </c>
      <c r="B96" s="39"/>
      <c r="C96" s="623" t="s">
        <v>284</v>
      </c>
      <c r="D96" s="623"/>
      <c r="E96" s="623"/>
      <c r="F96" s="105">
        <f>0</f>
        <v>0</v>
      </c>
      <c r="G96" s="59">
        <f>0</f>
        <v>0</v>
      </c>
      <c r="H96" s="59">
        <f>0</f>
        <v>0</v>
      </c>
      <c r="I96" s="60">
        <f>0</f>
        <v>0</v>
      </c>
      <c r="J96" s="61">
        <f>0</f>
        <v>0</v>
      </c>
      <c r="K96" s="62">
        <f>0</f>
        <v>0</v>
      </c>
      <c r="L96" s="62">
        <f>0</f>
        <v>0</v>
      </c>
      <c r="M96" s="62">
        <f>0</f>
        <v>0</v>
      </c>
      <c r="N96" s="62">
        <f>0</f>
        <v>0</v>
      </c>
      <c r="O96" s="62">
        <f>0</f>
        <v>0</v>
      </c>
      <c r="P96" s="62">
        <f>0</f>
        <v>0</v>
      </c>
      <c r="Q96" s="62">
        <f>0</f>
        <v>0</v>
      </c>
      <c r="R96" s="62">
        <f>0</f>
        <v>0</v>
      </c>
      <c r="S96" s="62">
        <f>0</f>
        <v>0</v>
      </c>
      <c r="T96" s="62">
        <f>0</f>
        <v>0</v>
      </c>
      <c r="U96" s="62">
        <f>0</f>
        <v>0</v>
      </c>
      <c r="V96" s="62">
        <f>0</f>
        <v>0</v>
      </c>
      <c r="W96" s="62">
        <f>0</f>
        <v>0</v>
      </c>
      <c r="X96" s="62">
        <f>0</f>
        <v>0</v>
      </c>
      <c r="Y96" s="62">
        <f>0</f>
        <v>0</v>
      </c>
      <c r="Z96" s="62">
        <f>0</f>
        <v>0</v>
      </c>
      <c r="AA96" s="62">
        <f>0</f>
        <v>0</v>
      </c>
      <c r="AB96" s="62">
        <f>0</f>
        <v>0</v>
      </c>
      <c r="AC96" s="62">
        <f>0</f>
        <v>0</v>
      </c>
      <c r="AD96" s="62">
        <f>0</f>
        <v>0</v>
      </c>
      <c r="AE96" s="62">
        <f>0</f>
        <v>0</v>
      </c>
      <c r="AF96" s="62">
        <f>0</f>
        <v>0</v>
      </c>
      <c r="AG96" s="62">
        <f>0</f>
        <v>0</v>
      </c>
      <c r="AH96" s="62">
        <f>0</f>
        <v>0</v>
      </c>
      <c r="AI96" s="62">
        <f>0</f>
        <v>0</v>
      </c>
      <c r="AJ96" s="62">
        <f>0</f>
        <v>0</v>
      </c>
      <c r="AK96" s="62">
        <f>0</f>
        <v>0</v>
      </c>
      <c r="AL96" s="62">
        <f>0</f>
        <v>0</v>
      </c>
      <c r="AM96" s="63">
        <f>0</f>
        <v>0</v>
      </c>
    </row>
    <row r="97" spans="1:40" ht="15" customHeight="1" outlineLevel="1">
      <c r="A97" s="51">
        <v>14</v>
      </c>
      <c r="B97" s="625" t="s">
        <v>157</v>
      </c>
      <c r="C97" s="626"/>
      <c r="D97" s="626"/>
      <c r="E97" s="626"/>
      <c r="F97" s="108" t="s">
        <v>31</v>
      </c>
      <c r="G97" s="73" t="s">
        <v>31</v>
      </c>
      <c r="H97" s="73" t="s">
        <v>31</v>
      </c>
      <c r="I97" s="74" t="s">
        <v>31</v>
      </c>
      <c r="J97" s="75" t="s">
        <v>31</v>
      </c>
      <c r="K97" s="76" t="s">
        <v>31</v>
      </c>
      <c r="L97" s="76" t="s">
        <v>31</v>
      </c>
      <c r="M97" s="76" t="s">
        <v>31</v>
      </c>
      <c r="N97" s="76" t="s">
        <v>31</v>
      </c>
      <c r="O97" s="76" t="s">
        <v>31</v>
      </c>
      <c r="P97" s="76" t="s">
        <v>31</v>
      </c>
      <c r="Q97" s="76" t="s">
        <v>31</v>
      </c>
      <c r="R97" s="76" t="s">
        <v>31</v>
      </c>
      <c r="S97" s="76" t="s">
        <v>31</v>
      </c>
      <c r="T97" s="76" t="s">
        <v>31</v>
      </c>
      <c r="U97" s="76" t="s">
        <v>31</v>
      </c>
      <c r="V97" s="76" t="s">
        <v>31</v>
      </c>
      <c r="W97" s="76" t="s">
        <v>31</v>
      </c>
      <c r="X97" s="76" t="s">
        <v>31</v>
      </c>
      <c r="Y97" s="76" t="s">
        <v>31</v>
      </c>
      <c r="Z97" s="76" t="s">
        <v>31</v>
      </c>
      <c r="AA97" s="76" t="s">
        <v>31</v>
      </c>
      <c r="AB97" s="76" t="s">
        <v>31</v>
      </c>
      <c r="AC97" s="76" t="s">
        <v>31</v>
      </c>
      <c r="AD97" s="76" t="s">
        <v>31</v>
      </c>
      <c r="AE97" s="76" t="s">
        <v>31</v>
      </c>
      <c r="AF97" s="76" t="s">
        <v>31</v>
      </c>
      <c r="AG97" s="76" t="s">
        <v>31</v>
      </c>
      <c r="AH97" s="76" t="s">
        <v>31</v>
      </c>
      <c r="AI97" s="76" t="s">
        <v>31</v>
      </c>
      <c r="AJ97" s="76" t="s">
        <v>31</v>
      </c>
      <c r="AK97" s="76" t="s">
        <v>31</v>
      </c>
      <c r="AL97" s="76" t="s">
        <v>31</v>
      </c>
      <c r="AM97" s="77" t="s">
        <v>31</v>
      </c>
      <c r="AN97" s="46"/>
    </row>
    <row r="98" spans="1:39" ht="25.5" customHeight="1" outlineLevel="2">
      <c r="A98" s="52" t="s">
        <v>211</v>
      </c>
      <c r="B98" s="39"/>
      <c r="C98" s="623" t="s">
        <v>285</v>
      </c>
      <c r="D98" s="623"/>
      <c r="E98" s="623"/>
      <c r="F98" s="105">
        <f>1020254.44</f>
        <v>1020254.44</v>
      </c>
      <c r="G98" s="59">
        <f>1242259.44</f>
        <v>1242259.44</v>
      </c>
      <c r="H98" s="59">
        <f>1049260</f>
        <v>1049260</v>
      </c>
      <c r="I98" s="60">
        <f>1049259.44</f>
        <v>1049259.44</v>
      </c>
      <c r="J98" s="61">
        <f>1133995</f>
        <v>1133995</v>
      </c>
      <c r="K98" s="62">
        <f>694000</f>
        <v>694000</v>
      </c>
      <c r="L98" s="62">
        <f>814000</f>
        <v>814000</v>
      </c>
      <c r="M98" s="62">
        <f>950000</f>
        <v>950000</v>
      </c>
      <c r="N98" s="62">
        <f>900000</f>
        <v>900000</v>
      </c>
      <c r="O98" s="62">
        <f>600000</f>
        <v>600000</v>
      </c>
      <c r="P98" s="62">
        <f>100000</f>
        <v>100000</v>
      </c>
      <c r="Q98" s="62">
        <f>0</f>
        <v>0</v>
      </c>
      <c r="R98" s="62">
        <f>0</f>
        <v>0</v>
      </c>
      <c r="S98" s="62">
        <f>0</f>
        <v>0</v>
      </c>
      <c r="T98" s="62">
        <f>0</f>
        <v>0</v>
      </c>
      <c r="U98" s="62">
        <f>0</f>
        <v>0</v>
      </c>
      <c r="V98" s="62">
        <f>0</f>
        <v>0</v>
      </c>
      <c r="W98" s="62">
        <f>0</f>
        <v>0</v>
      </c>
      <c r="X98" s="62">
        <f>0</f>
        <v>0</v>
      </c>
      <c r="Y98" s="62">
        <f>0</f>
        <v>0</v>
      </c>
      <c r="Z98" s="62">
        <f>0</f>
        <v>0</v>
      </c>
      <c r="AA98" s="62">
        <f>0</f>
        <v>0</v>
      </c>
      <c r="AB98" s="62">
        <f>0</f>
        <v>0</v>
      </c>
      <c r="AC98" s="62">
        <f>0</f>
        <v>0</v>
      </c>
      <c r="AD98" s="62">
        <f>0</f>
        <v>0</v>
      </c>
      <c r="AE98" s="62">
        <f>0</f>
        <v>0</v>
      </c>
      <c r="AF98" s="62">
        <f>0</f>
        <v>0</v>
      </c>
      <c r="AG98" s="62">
        <f>0</f>
        <v>0</v>
      </c>
      <c r="AH98" s="62">
        <f>0</f>
        <v>0</v>
      </c>
      <c r="AI98" s="62">
        <f>0</f>
        <v>0</v>
      </c>
      <c r="AJ98" s="62">
        <f>0</f>
        <v>0</v>
      </c>
      <c r="AK98" s="62">
        <f>0</f>
        <v>0</v>
      </c>
      <c r="AL98" s="62">
        <f>0</f>
        <v>0</v>
      </c>
      <c r="AM98" s="63">
        <f>0</f>
        <v>0</v>
      </c>
    </row>
    <row r="99" spans="1:39" ht="15" customHeight="1" outlineLevel="2">
      <c r="A99" s="52" t="s">
        <v>212</v>
      </c>
      <c r="B99" s="39"/>
      <c r="C99" s="623" t="s">
        <v>286</v>
      </c>
      <c r="D99" s="623"/>
      <c r="E99" s="623"/>
      <c r="F99" s="105">
        <f>0</f>
        <v>0</v>
      </c>
      <c r="G99" s="59">
        <f>0</f>
        <v>0</v>
      </c>
      <c r="H99" s="59">
        <f>0</f>
        <v>0</v>
      </c>
      <c r="I99" s="60">
        <f>141.03</f>
        <v>141.03</v>
      </c>
      <c r="J99" s="61">
        <f>0</f>
        <v>0</v>
      </c>
      <c r="K99" s="62">
        <f>0</f>
        <v>0</v>
      </c>
      <c r="L99" s="62">
        <f>0</f>
        <v>0</v>
      </c>
      <c r="M99" s="62">
        <f>0</f>
        <v>0</v>
      </c>
      <c r="N99" s="62">
        <f>0</f>
        <v>0</v>
      </c>
      <c r="O99" s="62">
        <f>0</f>
        <v>0</v>
      </c>
      <c r="P99" s="62">
        <f>0</f>
        <v>0</v>
      </c>
      <c r="Q99" s="62">
        <f>0</f>
        <v>0</v>
      </c>
      <c r="R99" s="62">
        <f>0</f>
        <v>0</v>
      </c>
      <c r="S99" s="62">
        <f>0</f>
        <v>0</v>
      </c>
      <c r="T99" s="62">
        <f>0</f>
        <v>0</v>
      </c>
      <c r="U99" s="62">
        <f>0</f>
        <v>0</v>
      </c>
      <c r="V99" s="62">
        <f>0</f>
        <v>0</v>
      </c>
      <c r="W99" s="62">
        <f>0</f>
        <v>0</v>
      </c>
      <c r="X99" s="62">
        <f>0</f>
        <v>0</v>
      </c>
      <c r="Y99" s="62">
        <f>0</f>
        <v>0</v>
      </c>
      <c r="Z99" s="62">
        <f>0</f>
        <v>0</v>
      </c>
      <c r="AA99" s="62">
        <f>0</f>
        <v>0</v>
      </c>
      <c r="AB99" s="62">
        <f>0</f>
        <v>0</v>
      </c>
      <c r="AC99" s="62">
        <f>0</f>
        <v>0</v>
      </c>
      <c r="AD99" s="62">
        <f>0</f>
        <v>0</v>
      </c>
      <c r="AE99" s="62">
        <f>0</f>
        <v>0</v>
      </c>
      <c r="AF99" s="62">
        <f>0</f>
        <v>0</v>
      </c>
      <c r="AG99" s="62">
        <f>0</f>
        <v>0</v>
      </c>
      <c r="AH99" s="62">
        <f>0</f>
        <v>0</v>
      </c>
      <c r="AI99" s="62">
        <f>0</f>
        <v>0</v>
      </c>
      <c r="AJ99" s="62">
        <f>0</f>
        <v>0</v>
      </c>
      <c r="AK99" s="62">
        <f>0</f>
        <v>0</v>
      </c>
      <c r="AL99" s="62">
        <f>0</f>
        <v>0</v>
      </c>
      <c r="AM99" s="63">
        <f>0</f>
        <v>0</v>
      </c>
    </row>
    <row r="100" spans="1:39" ht="15" customHeight="1" outlineLevel="2">
      <c r="A100" s="52" t="s">
        <v>213</v>
      </c>
      <c r="B100" s="39"/>
      <c r="C100" s="623" t="s">
        <v>288</v>
      </c>
      <c r="D100" s="623"/>
      <c r="E100" s="623"/>
      <c r="F100" s="105">
        <f>0</f>
        <v>0</v>
      </c>
      <c r="G100" s="59">
        <f>0</f>
        <v>0</v>
      </c>
      <c r="H100" s="59">
        <f>0</f>
        <v>0</v>
      </c>
      <c r="I100" s="60">
        <f>0</f>
        <v>0</v>
      </c>
      <c r="J100" s="61">
        <f>141.03</f>
        <v>141.03</v>
      </c>
      <c r="K100" s="62">
        <f>0</f>
        <v>0</v>
      </c>
      <c r="L100" s="62">
        <f>0</f>
        <v>0</v>
      </c>
      <c r="M100" s="62">
        <f>0</f>
        <v>0</v>
      </c>
      <c r="N100" s="62">
        <f>0</f>
        <v>0</v>
      </c>
      <c r="O100" s="62">
        <f>0</f>
        <v>0</v>
      </c>
      <c r="P100" s="62">
        <f>0</f>
        <v>0</v>
      </c>
      <c r="Q100" s="62">
        <f>0</f>
        <v>0</v>
      </c>
      <c r="R100" s="62">
        <f>0</f>
        <v>0</v>
      </c>
      <c r="S100" s="62">
        <f>0</f>
        <v>0</v>
      </c>
      <c r="T100" s="62">
        <f>0</f>
        <v>0</v>
      </c>
      <c r="U100" s="62">
        <f>0</f>
        <v>0</v>
      </c>
      <c r="V100" s="62">
        <f>0</f>
        <v>0</v>
      </c>
      <c r="W100" s="62">
        <f>0</f>
        <v>0</v>
      </c>
      <c r="X100" s="62">
        <f>0</f>
        <v>0</v>
      </c>
      <c r="Y100" s="62">
        <f>0</f>
        <v>0</v>
      </c>
      <c r="Z100" s="62">
        <f>0</f>
        <v>0</v>
      </c>
      <c r="AA100" s="62">
        <f>0</f>
        <v>0</v>
      </c>
      <c r="AB100" s="62">
        <f>0</f>
        <v>0</v>
      </c>
      <c r="AC100" s="62">
        <f>0</f>
        <v>0</v>
      </c>
      <c r="AD100" s="62">
        <f>0</f>
        <v>0</v>
      </c>
      <c r="AE100" s="62">
        <f>0</f>
        <v>0</v>
      </c>
      <c r="AF100" s="62">
        <f>0</f>
        <v>0</v>
      </c>
      <c r="AG100" s="62">
        <f>0</f>
        <v>0</v>
      </c>
      <c r="AH100" s="62">
        <f>0</f>
        <v>0</v>
      </c>
      <c r="AI100" s="62">
        <f>0</f>
        <v>0</v>
      </c>
      <c r="AJ100" s="62">
        <f>0</f>
        <v>0</v>
      </c>
      <c r="AK100" s="62">
        <f>0</f>
        <v>0</v>
      </c>
      <c r="AL100" s="62">
        <f>0</f>
        <v>0</v>
      </c>
      <c r="AM100" s="63">
        <f>0</f>
        <v>0</v>
      </c>
    </row>
    <row r="101" spans="1:39" ht="15" customHeight="1" outlineLevel="2">
      <c r="A101" s="52" t="s">
        <v>161</v>
      </c>
      <c r="B101" s="39"/>
      <c r="C101" s="40"/>
      <c r="D101" s="623" t="s">
        <v>287</v>
      </c>
      <c r="E101" s="623"/>
      <c r="F101" s="105">
        <f>0</f>
        <v>0</v>
      </c>
      <c r="G101" s="59">
        <f>0</f>
        <v>0</v>
      </c>
      <c r="H101" s="59">
        <f>0</f>
        <v>0</v>
      </c>
      <c r="I101" s="60">
        <f>0</f>
        <v>0</v>
      </c>
      <c r="J101" s="61">
        <f>141.03</f>
        <v>141.03</v>
      </c>
      <c r="K101" s="62">
        <f>0</f>
        <v>0</v>
      </c>
      <c r="L101" s="62">
        <f>0</f>
        <v>0</v>
      </c>
      <c r="M101" s="62">
        <f>0</f>
        <v>0</v>
      </c>
      <c r="N101" s="62">
        <f>0</f>
        <v>0</v>
      </c>
      <c r="O101" s="62">
        <f>0</f>
        <v>0</v>
      </c>
      <c r="P101" s="62">
        <f>0</f>
        <v>0</v>
      </c>
      <c r="Q101" s="62">
        <f>0</f>
        <v>0</v>
      </c>
      <c r="R101" s="62">
        <f>0</f>
        <v>0</v>
      </c>
      <c r="S101" s="62">
        <f>0</f>
        <v>0</v>
      </c>
      <c r="T101" s="62">
        <f>0</f>
        <v>0</v>
      </c>
      <c r="U101" s="62">
        <f>0</f>
        <v>0</v>
      </c>
      <c r="V101" s="62">
        <f>0</f>
        <v>0</v>
      </c>
      <c r="W101" s="62">
        <f>0</f>
        <v>0</v>
      </c>
      <c r="X101" s="62">
        <f>0</f>
        <v>0</v>
      </c>
      <c r="Y101" s="62">
        <f>0</f>
        <v>0</v>
      </c>
      <c r="Z101" s="62">
        <f>0</f>
        <v>0</v>
      </c>
      <c r="AA101" s="62">
        <f>0</f>
        <v>0</v>
      </c>
      <c r="AB101" s="62">
        <f>0</f>
        <v>0</v>
      </c>
      <c r="AC101" s="62">
        <f>0</f>
        <v>0</v>
      </c>
      <c r="AD101" s="62">
        <f>0</f>
        <v>0</v>
      </c>
      <c r="AE101" s="62">
        <f>0</f>
        <v>0</v>
      </c>
      <c r="AF101" s="62">
        <f>0</f>
        <v>0</v>
      </c>
      <c r="AG101" s="62">
        <f>0</f>
        <v>0</v>
      </c>
      <c r="AH101" s="62">
        <f>0</f>
        <v>0</v>
      </c>
      <c r="AI101" s="62">
        <f>0</f>
        <v>0</v>
      </c>
      <c r="AJ101" s="62">
        <f>0</f>
        <v>0</v>
      </c>
      <c r="AK101" s="62">
        <f>0</f>
        <v>0</v>
      </c>
      <c r="AL101" s="62">
        <f>0</f>
        <v>0</v>
      </c>
      <c r="AM101" s="63">
        <f>0</f>
        <v>0</v>
      </c>
    </row>
    <row r="102" spans="1:39" ht="15" customHeight="1" outlineLevel="2">
      <c r="A102" s="52" t="s">
        <v>163</v>
      </c>
      <c r="B102" s="39"/>
      <c r="C102" s="40"/>
      <c r="D102" s="623" t="s">
        <v>289</v>
      </c>
      <c r="E102" s="623"/>
      <c r="F102" s="105">
        <f>0</f>
        <v>0</v>
      </c>
      <c r="G102" s="59">
        <f>0</f>
        <v>0</v>
      </c>
      <c r="H102" s="59">
        <f>0</f>
        <v>0</v>
      </c>
      <c r="I102" s="60">
        <f>0</f>
        <v>0</v>
      </c>
      <c r="J102" s="61">
        <f>0</f>
        <v>0</v>
      </c>
      <c r="K102" s="62">
        <f>0</f>
        <v>0</v>
      </c>
      <c r="L102" s="62">
        <f>0</f>
        <v>0</v>
      </c>
      <c r="M102" s="62">
        <f>0</f>
        <v>0</v>
      </c>
      <c r="N102" s="62">
        <f>0</f>
        <v>0</v>
      </c>
      <c r="O102" s="62">
        <f>0</f>
        <v>0</v>
      </c>
      <c r="P102" s="62">
        <f>0</f>
        <v>0</v>
      </c>
      <c r="Q102" s="62">
        <f>0</f>
        <v>0</v>
      </c>
      <c r="R102" s="62">
        <f>0</f>
        <v>0</v>
      </c>
      <c r="S102" s="62">
        <f>0</f>
        <v>0</v>
      </c>
      <c r="T102" s="62">
        <f>0</f>
        <v>0</v>
      </c>
      <c r="U102" s="62">
        <f>0</f>
        <v>0</v>
      </c>
      <c r="V102" s="62">
        <f>0</f>
        <v>0</v>
      </c>
      <c r="W102" s="62">
        <f>0</f>
        <v>0</v>
      </c>
      <c r="X102" s="62">
        <f>0</f>
        <v>0</v>
      </c>
      <c r="Y102" s="62">
        <f>0</f>
        <v>0</v>
      </c>
      <c r="Z102" s="62">
        <f>0</f>
        <v>0</v>
      </c>
      <c r="AA102" s="62">
        <f>0</f>
        <v>0</v>
      </c>
      <c r="AB102" s="62">
        <f>0</f>
        <v>0</v>
      </c>
      <c r="AC102" s="62">
        <f>0</f>
        <v>0</v>
      </c>
      <c r="AD102" s="62">
        <f>0</f>
        <v>0</v>
      </c>
      <c r="AE102" s="62">
        <f>0</f>
        <v>0</v>
      </c>
      <c r="AF102" s="62">
        <f>0</f>
        <v>0</v>
      </c>
      <c r="AG102" s="62">
        <f>0</f>
        <v>0</v>
      </c>
      <c r="AH102" s="62">
        <f>0</f>
        <v>0</v>
      </c>
      <c r="AI102" s="62">
        <f>0</f>
        <v>0</v>
      </c>
      <c r="AJ102" s="62">
        <f>0</f>
        <v>0</v>
      </c>
      <c r="AK102" s="62">
        <f>0</f>
        <v>0</v>
      </c>
      <c r="AL102" s="62">
        <f>0</f>
        <v>0</v>
      </c>
      <c r="AM102" s="63">
        <f>0</f>
        <v>0</v>
      </c>
    </row>
    <row r="103" spans="1:39" ht="15" customHeight="1" outlineLevel="2">
      <c r="A103" s="52" t="s">
        <v>165</v>
      </c>
      <c r="B103" s="39"/>
      <c r="C103" s="40"/>
      <c r="D103" s="623" t="s">
        <v>290</v>
      </c>
      <c r="E103" s="623"/>
      <c r="F103" s="105">
        <f>0</f>
        <v>0</v>
      </c>
      <c r="G103" s="59">
        <f>0</f>
        <v>0</v>
      </c>
      <c r="H103" s="59">
        <f>0</f>
        <v>0</v>
      </c>
      <c r="I103" s="60">
        <f>0</f>
        <v>0</v>
      </c>
      <c r="J103" s="61">
        <f>0</f>
        <v>0</v>
      </c>
      <c r="K103" s="62">
        <f>0</f>
        <v>0</v>
      </c>
      <c r="L103" s="62">
        <f>0</f>
        <v>0</v>
      </c>
      <c r="M103" s="62">
        <f>0</f>
        <v>0</v>
      </c>
      <c r="N103" s="62">
        <f>0</f>
        <v>0</v>
      </c>
      <c r="O103" s="62">
        <f>0</f>
        <v>0</v>
      </c>
      <c r="P103" s="62">
        <f>0</f>
        <v>0</v>
      </c>
      <c r="Q103" s="62">
        <f>0</f>
        <v>0</v>
      </c>
      <c r="R103" s="62">
        <f>0</f>
        <v>0</v>
      </c>
      <c r="S103" s="62">
        <f>0</f>
        <v>0</v>
      </c>
      <c r="T103" s="62">
        <f>0</f>
        <v>0</v>
      </c>
      <c r="U103" s="62">
        <f>0</f>
        <v>0</v>
      </c>
      <c r="V103" s="62">
        <f>0</f>
        <v>0</v>
      </c>
      <c r="W103" s="62">
        <f>0</f>
        <v>0</v>
      </c>
      <c r="X103" s="62">
        <f>0</f>
        <v>0</v>
      </c>
      <c r="Y103" s="62">
        <f>0</f>
        <v>0</v>
      </c>
      <c r="Z103" s="62">
        <f>0</f>
        <v>0</v>
      </c>
      <c r="AA103" s="62">
        <f>0</f>
        <v>0</v>
      </c>
      <c r="AB103" s="62">
        <f>0</f>
        <v>0</v>
      </c>
      <c r="AC103" s="62">
        <f>0</f>
        <v>0</v>
      </c>
      <c r="AD103" s="62">
        <f>0</f>
        <v>0</v>
      </c>
      <c r="AE103" s="62">
        <f>0</f>
        <v>0</v>
      </c>
      <c r="AF103" s="62">
        <f>0</f>
        <v>0</v>
      </c>
      <c r="AG103" s="62">
        <f>0</f>
        <v>0</v>
      </c>
      <c r="AH103" s="62">
        <f>0</f>
        <v>0</v>
      </c>
      <c r="AI103" s="62">
        <f>0</f>
        <v>0</v>
      </c>
      <c r="AJ103" s="62">
        <f>0</f>
        <v>0</v>
      </c>
      <c r="AK103" s="62">
        <f>0</f>
        <v>0</v>
      </c>
      <c r="AL103" s="62">
        <f>0</f>
        <v>0</v>
      </c>
      <c r="AM103" s="63">
        <f>0</f>
        <v>0</v>
      </c>
    </row>
    <row r="104" spans="1:39" ht="15" customHeight="1" outlineLevel="2">
      <c r="A104" s="53" t="s">
        <v>214</v>
      </c>
      <c r="B104" s="41"/>
      <c r="C104" s="624" t="s">
        <v>291</v>
      </c>
      <c r="D104" s="624"/>
      <c r="E104" s="624"/>
      <c r="F104" s="109">
        <f>0</f>
        <v>0</v>
      </c>
      <c r="G104" s="78">
        <f>0</f>
        <v>0</v>
      </c>
      <c r="H104" s="78">
        <f>0</f>
        <v>0</v>
      </c>
      <c r="I104" s="79">
        <f>210000</f>
        <v>210000</v>
      </c>
      <c r="J104" s="80">
        <f>0</f>
        <v>0</v>
      </c>
      <c r="K104" s="81">
        <f>0</f>
        <v>0</v>
      </c>
      <c r="L104" s="81">
        <f>0</f>
        <v>0</v>
      </c>
      <c r="M104" s="81">
        <f>0</f>
        <v>0</v>
      </c>
      <c r="N104" s="81">
        <f>0</f>
        <v>0</v>
      </c>
      <c r="O104" s="81">
        <f>0</f>
        <v>0</v>
      </c>
      <c r="P104" s="81">
        <f>0</f>
        <v>0</v>
      </c>
      <c r="Q104" s="81">
        <f>0</f>
        <v>0</v>
      </c>
      <c r="R104" s="81">
        <f>0</f>
        <v>0</v>
      </c>
      <c r="S104" s="81">
        <f>0</f>
        <v>0</v>
      </c>
      <c r="T104" s="81">
        <f>0</f>
        <v>0</v>
      </c>
      <c r="U104" s="81">
        <f>0</f>
        <v>0</v>
      </c>
      <c r="V104" s="81">
        <f>0</f>
        <v>0</v>
      </c>
      <c r="W104" s="81">
        <f>0</f>
        <v>0</v>
      </c>
      <c r="X104" s="81">
        <f>0</f>
        <v>0</v>
      </c>
      <c r="Y104" s="81">
        <f>0</f>
        <v>0</v>
      </c>
      <c r="Z104" s="81">
        <f>0</f>
        <v>0</v>
      </c>
      <c r="AA104" s="81">
        <f>0</f>
        <v>0</v>
      </c>
      <c r="AB104" s="81">
        <f>0</f>
        <v>0</v>
      </c>
      <c r="AC104" s="81">
        <f>0</f>
        <v>0</v>
      </c>
      <c r="AD104" s="81">
        <f>0</f>
        <v>0</v>
      </c>
      <c r="AE104" s="81">
        <f>0</f>
        <v>0</v>
      </c>
      <c r="AF104" s="81">
        <f>0</f>
        <v>0</v>
      </c>
      <c r="AG104" s="81">
        <f>0</f>
        <v>0</v>
      </c>
      <c r="AH104" s="81">
        <f>0</f>
        <v>0</v>
      </c>
      <c r="AI104" s="81">
        <f>0</f>
        <v>0</v>
      </c>
      <c r="AJ104" s="81">
        <f>0</f>
        <v>0</v>
      </c>
      <c r="AK104" s="81">
        <f>0</f>
        <v>0</v>
      </c>
      <c r="AL104" s="81">
        <f>0</f>
        <v>0</v>
      </c>
      <c r="AM104" s="82">
        <f>0</f>
        <v>0</v>
      </c>
    </row>
    <row r="105" spans="1:40" ht="14.25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0"/>
    </row>
    <row r="106" spans="1:40" ht="15">
      <c r="A106" s="196"/>
      <c r="B106" s="163"/>
      <c r="C106" s="163"/>
      <c r="D106" s="163"/>
      <c r="E106" s="159"/>
      <c r="F106" s="197"/>
      <c r="G106" s="197"/>
      <c r="H106" s="197"/>
      <c r="I106" s="197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0"/>
    </row>
    <row r="107" spans="1:40" ht="15">
      <c r="A107" s="198"/>
      <c r="B107" s="163"/>
      <c r="C107" s="163"/>
      <c r="D107" s="163"/>
      <c r="E107" s="159"/>
      <c r="F107" s="199"/>
      <c r="G107" s="199"/>
      <c r="H107" s="199"/>
      <c r="I107" s="199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0"/>
    </row>
    <row r="108" spans="1:40" ht="14.25">
      <c r="A108" s="200"/>
      <c r="B108" s="163"/>
      <c r="C108" s="163"/>
      <c r="D108" s="163"/>
      <c r="E108" s="159"/>
      <c r="F108" s="199"/>
      <c r="G108" s="199"/>
      <c r="H108" s="199"/>
      <c r="I108" s="199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0"/>
    </row>
    <row r="109" spans="1:40" ht="14.25">
      <c r="A109" s="200"/>
      <c r="B109" s="163"/>
      <c r="C109" s="163"/>
      <c r="D109" s="163"/>
      <c r="E109" s="159"/>
      <c r="F109" s="199"/>
      <c r="G109" s="199"/>
      <c r="H109" s="199"/>
      <c r="I109" s="199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0"/>
    </row>
    <row r="110" spans="1:40" ht="15">
      <c r="A110" s="201"/>
      <c r="B110" s="201"/>
      <c r="C110" s="201"/>
      <c r="D110" s="201"/>
      <c r="E110" s="201"/>
      <c r="F110" s="202"/>
      <c r="G110" s="202"/>
      <c r="H110" s="202"/>
      <c r="I110" s="199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0"/>
    </row>
    <row r="111" spans="1:40" ht="14.25" outlineLevel="1">
      <c r="A111" s="203"/>
      <c r="B111" s="203"/>
      <c r="C111" s="203"/>
      <c r="D111" s="203"/>
      <c r="E111" s="204"/>
      <c r="F111" s="199"/>
      <c r="G111" s="199"/>
      <c r="H111" s="199"/>
      <c r="I111" s="199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0"/>
    </row>
    <row r="112" spans="1:40" ht="14.25" outlineLevel="1">
      <c r="A112" s="203"/>
      <c r="B112" s="203"/>
      <c r="C112" s="203"/>
      <c r="D112" s="203"/>
      <c r="E112" s="205"/>
      <c r="F112" s="199"/>
      <c r="G112" s="199"/>
      <c r="H112" s="199"/>
      <c r="I112" s="199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0"/>
    </row>
    <row r="113" spans="1:40" ht="14.25" outlineLevel="1">
      <c r="A113" s="203"/>
      <c r="B113" s="203"/>
      <c r="C113" s="203"/>
      <c r="D113" s="203"/>
      <c r="E113" s="206"/>
      <c r="F113" s="199"/>
      <c r="G113" s="199"/>
      <c r="H113" s="199"/>
      <c r="I113" s="199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0"/>
    </row>
    <row r="114" spans="1:40" ht="14.25" outlineLevel="1">
      <c r="A114" s="423"/>
      <c r="B114" s="423"/>
      <c r="C114" s="423"/>
      <c r="D114" s="423"/>
      <c r="E114" s="424"/>
      <c r="F114" s="199"/>
      <c r="G114" s="199"/>
      <c r="H114" s="199"/>
      <c r="I114" s="199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0"/>
    </row>
    <row r="115" spans="1:40" ht="14.25" outlineLevel="2">
      <c r="A115" s="632"/>
      <c r="B115" s="633"/>
      <c r="C115" s="633"/>
      <c r="D115" s="634"/>
      <c r="E115" s="97"/>
      <c r="F115" s="110"/>
      <c r="G115" s="111"/>
      <c r="H115" s="111"/>
      <c r="I115" s="119"/>
      <c r="J115" s="116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 t="str">
        <f aca="true" t="shared" si="3" ref="X115:AM115">IF(X11+X31+X33&gt;=X22-X25,"TAK","NIE")</f>
        <v>TAK</v>
      </c>
      <c r="Y115" s="93" t="str">
        <f t="shared" si="3"/>
        <v>TAK</v>
      </c>
      <c r="Z115" s="93" t="str">
        <f t="shared" si="3"/>
        <v>TAK</v>
      </c>
      <c r="AA115" s="93" t="str">
        <f t="shared" si="3"/>
        <v>TAK</v>
      </c>
      <c r="AB115" s="93" t="str">
        <f t="shared" si="3"/>
        <v>TAK</v>
      </c>
      <c r="AC115" s="93" t="str">
        <f t="shared" si="3"/>
        <v>TAK</v>
      </c>
      <c r="AD115" s="93" t="str">
        <f t="shared" si="3"/>
        <v>TAK</v>
      </c>
      <c r="AE115" s="93" t="str">
        <f t="shared" si="3"/>
        <v>TAK</v>
      </c>
      <c r="AF115" s="93" t="str">
        <f t="shared" si="3"/>
        <v>TAK</v>
      </c>
      <c r="AG115" s="93" t="str">
        <f t="shared" si="3"/>
        <v>TAK</v>
      </c>
      <c r="AH115" s="93" t="str">
        <f t="shared" si="3"/>
        <v>TAK</v>
      </c>
      <c r="AI115" s="93" t="str">
        <f t="shared" si="3"/>
        <v>TAK</v>
      </c>
      <c r="AJ115" s="93" t="str">
        <f t="shared" si="3"/>
        <v>TAK</v>
      </c>
      <c r="AK115" s="93" t="str">
        <f t="shared" si="3"/>
        <v>TAK</v>
      </c>
      <c r="AL115" s="93" t="str">
        <f t="shared" si="3"/>
        <v>TAK</v>
      </c>
      <c r="AM115" s="94" t="str">
        <f t="shared" si="3"/>
        <v>TAK</v>
      </c>
      <c r="AN115" s="22"/>
    </row>
    <row r="116" spans="1:40" ht="14.25" outlineLevel="2">
      <c r="A116" s="629"/>
      <c r="B116" s="630"/>
      <c r="C116" s="630"/>
      <c r="D116" s="631"/>
      <c r="E116" s="98"/>
      <c r="F116" s="112"/>
      <c r="G116" s="113"/>
      <c r="H116" s="113"/>
      <c r="I116" s="120"/>
      <c r="J116" s="117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 t="s">
        <v>31</v>
      </c>
      <c r="Y116" s="91" t="s">
        <v>31</v>
      </c>
      <c r="Z116" s="91" t="s">
        <v>31</v>
      </c>
      <c r="AA116" s="91" t="s">
        <v>31</v>
      </c>
      <c r="AB116" s="91" t="s">
        <v>31</v>
      </c>
      <c r="AC116" s="91" t="s">
        <v>31</v>
      </c>
      <c r="AD116" s="91" t="s">
        <v>31</v>
      </c>
      <c r="AE116" s="91" t="s">
        <v>31</v>
      </c>
      <c r="AF116" s="91" t="s">
        <v>31</v>
      </c>
      <c r="AG116" s="91" t="s">
        <v>31</v>
      </c>
      <c r="AH116" s="91" t="s">
        <v>31</v>
      </c>
      <c r="AI116" s="91" t="s">
        <v>31</v>
      </c>
      <c r="AJ116" s="91" t="s">
        <v>31</v>
      </c>
      <c r="AK116" s="91" t="s">
        <v>31</v>
      </c>
      <c r="AL116" s="91" t="s">
        <v>31</v>
      </c>
      <c r="AM116" s="92" t="s">
        <v>31</v>
      </c>
      <c r="AN116" s="90"/>
    </row>
    <row r="117" spans="1:40" ht="14.25" outlineLevel="2">
      <c r="A117" s="629"/>
      <c r="B117" s="630"/>
      <c r="C117" s="630"/>
      <c r="D117" s="631"/>
      <c r="E117" s="98"/>
      <c r="F117" s="112"/>
      <c r="G117" s="113"/>
      <c r="H117" s="113"/>
      <c r="I117" s="120"/>
      <c r="J117" s="117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 t="s">
        <v>31</v>
      </c>
      <c r="Y117" s="91" t="s">
        <v>31</v>
      </c>
      <c r="Z117" s="91" t="s">
        <v>31</v>
      </c>
      <c r="AA117" s="91" t="s">
        <v>31</v>
      </c>
      <c r="AB117" s="91" t="s">
        <v>31</v>
      </c>
      <c r="AC117" s="91" t="s">
        <v>31</v>
      </c>
      <c r="AD117" s="91" t="s">
        <v>31</v>
      </c>
      <c r="AE117" s="91" t="s">
        <v>31</v>
      </c>
      <c r="AF117" s="91" t="s">
        <v>31</v>
      </c>
      <c r="AG117" s="91" t="s">
        <v>31</v>
      </c>
      <c r="AH117" s="91" t="s">
        <v>31</v>
      </c>
      <c r="AI117" s="91" t="s">
        <v>31</v>
      </c>
      <c r="AJ117" s="91" t="s">
        <v>31</v>
      </c>
      <c r="AK117" s="91" t="s">
        <v>31</v>
      </c>
      <c r="AL117" s="91" t="s">
        <v>31</v>
      </c>
      <c r="AM117" s="92" t="s">
        <v>31</v>
      </c>
      <c r="AN117" s="90"/>
    </row>
    <row r="118" spans="1:40" ht="14.25" outlineLevel="2">
      <c r="A118" s="629"/>
      <c r="B118" s="630"/>
      <c r="C118" s="630"/>
      <c r="D118" s="631"/>
      <c r="E118" s="98"/>
      <c r="F118" s="112"/>
      <c r="G118" s="113"/>
      <c r="H118" s="113"/>
      <c r="I118" s="120"/>
      <c r="J118" s="117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 t="s">
        <v>31</v>
      </c>
      <c r="Y118" s="91" t="s">
        <v>31</v>
      </c>
      <c r="Z118" s="91" t="s">
        <v>31</v>
      </c>
      <c r="AA118" s="91" t="s">
        <v>31</v>
      </c>
      <c r="AB118" s="91" t="s">
        <v>31</v>
      </c>
      <c r="AC118" s="91" t="s">
        <v>31</v>
      </c>
      <c r="AD118" s="91" t="s">
        <v>31</v>
      </c>
      <c r="AE118" s="91" t="s">
        <v>31</v>
      </c>
      <c r="AF118" s="91" t="s">
        <v>31</v>
      </c>
      <c r="AG118" s="91" t="s">
        <v>31</v>
      </c>
      <c r="AH118" s="91" t="s">
        <v>31</v>
      </c>
      <c r="AI118" s="91" t="s">
        <v>31</v>
      </c>
      <c r="AJ118" s="91" t="s">
        <v>31</v>
      </c>
      <c r="AK118" s="91" t="s">
        <v>31</v>
      </c>
      <c r="AL118" s="91" t="s">
        <v>31</v>
      </c>
      <c r="AM118" s="92" t="s">
        <v>31</v>
      </c>
      <c r="AN118" s="90"/>
    </row>
    <row r="119" spans="1:40" ht="14.25" outlineLevel="2">
      <c r="A119" s="629"/>
      <c r="B119" s="630"/>
      <c r="C119" s="630"/>
      <c r="D119" s="631"/>
      <c r="E119" s="98"/>
      <c r="F119" s="112"/>
      <c r="G119" s="113"/>
      <c r="H119" s="113"/>
      <c r="I119" s="120"/>
      <c r="J119" s="117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 t="s">
        <v>31</v>
      </c>
      <c r="Y119" s="91" t="s">
        <v>31</v>
      </c>
      <c r="Z119" s="91" t="s">
        <v>31</v>
      </c>
      <c r="AA119" s="91" t="s">
        <v>31</v>
      </c>
      <c r="AB119" s="91" t="s">
        <v>31</v>
      </c>
      <c r="AC119" s="91" t="s">
        <v>31</v>
      </c>
      <c r="AD119" s="91" t="s">
        <v>31</v>
      </c>
      <c r="AE119" s="91" t="s">
        <v>31</v>
      </c>
      <c r="AF119" s="91" t="s">
        <v>31</v>
      </c>
      <c r="AG119" s="91" t="s">
        <v>31</v>
      </c>
      <c r="AH119" s="91" t="s">
        <v>31</v>
      </c>
      <c r="AI119" s="91" t="s">
        <v>31</v>
      </c>
      <c r="AJ119" s="91" t="s">
        <v>31</v>
      </c>
      <c r="AK119" s="91" t="s">
        <v>31</v>
      </c>
      <c r="AL119" s="91" t="s">
        <v>31</v>
      </c>
      <c r="AM119" s="92" t="s">
        <v>31</v>
      </c>
      <c r="AN119" s="90"/>
    </row>
    <row r="120" spans="1:40" ht="14.25" outlineLevel="2">
      <c r="A120" s="629"/>
      <c r="B120" s="630"/>
      <c r="C120" s="630"/>
      <c r="D120" s="631"/>
      <c r="E120" s="98"/>
      <c r="F120" s="112"/>
      <c r="G120" s="113"/>
      <c r="H120" s="113"/>
      <c r="I120" s="120"/>
      <c r="J120" s="117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 t="str">
        <f aca="true" t="shared" si="4" ref="X120:AM120">IF(X92=0,"TAK","BŁĄD")</f>
        <v>TAK</v>
      </c>
      <c r="Y120" s="91" t="str">
        <f t="shared" si="4"/>
        <v>TAK</v>
      </c>
      <c r="Z120" s="91" t="str">
        <f t="shared" si="4"/>
        <v>TAK</v>
      </c>
      <c r="AA120" s="91" t="str">
        <f t="shared" si="4"/>
        <v>TAK</v>
      </c>
      <c r="AB120" s="91" t="str">
        <f t="shared" si="4"/>
        <v>TAK</v>
      </c>
      <c r="AC120" s="91" t="str">
        <f t="shared" si="4"/>
        <v>TAK</v>
      </c>
      <c r="AD120" s="91" t="str">
        <f t="shared" si="4"/>
        <v>TAK</v>
      </c>
      <c r="AE120" s="91" t="str">
        <f t="shared" si="4"/>
        <v>TAK</v>
      </c>
      <c r="AF120" s="91" t="str">
        <f t="shared" si="4"/>
        <v>TAK</v>
      </c>
      <c r="AG120" s="91" t="str">
        <f t="shared" si="4"/>
        <v>TAK</v>
      </c>
      <c r="AH120" s="91" t="str">
        <f t="shared" si="4"/>
        <v>TAK</v>
      </c>
      <c r="AI120" s="91" t="str">
        <f t="shared" si="4"/>
        <v>TAK</v>
      </c>
      <c r="AJ120" s="91" t="str">
        <f t="shared" si="4"/>
        <v>TAK</v>
      </c>
      <c r="AK120" s="91" t="str">
        <f t="shared" si="4"/>
        <v>TAK</v>
      </c>
      <c r="AL120" s="91" t="str">
        <f t="shared" si="4"/>
        <v>TAK</v>
      </c>
      <c r="AM120" s="92" t="str">
        <f t="shared" si="4"/>
        <v>TAK</v>
      </c>
      <c r="AN120" s="22"/>
    </row>
    <row r="121" spans="1:40" ht="14.25" outlineLevel="1">
      <c r="A121" s="629"/>
      <c r="B121" s="630"/>
      <c r="C121" s="630"/>
      <c r="D121" s="631"/>
      <c r="E121" s="99"/>
      <c r="F121" s="112"/>
      <c r="G121" s="113"/>
      <c r="H121" s="113"/>
      <c r="I121" s="120"/>
      <c r="J121" s="614"/>
      <c r="K121" s="615"/>
      <c r="L121" s="615"/>
      <c r="M121" s="615"/>
      <c r="N121" s="615"/>
      <c r="O121" s="615"/>
      <c r="P121" s="615"/>
      <c r="Q121" s="615"/>
      <c r="R121" s="615"/>
      <c r="S121" s="615"/>
      <c r="T121" s="615"/>
      <c r="U121" s="615"/>
      <c r="V121" s="615"/>
      <c r="W121" s="615"/>
      <c r="X121" s="615" t="str">
        <f aca="true" t="shared" si="5" ref="X121:AM121">IF(X10+X30-X21-X39=0,"OK",X10+X30-X21-X39)</f>
        <v>OK</v>
      </c>
      <c r="Y121" s="615" t="str">
        <f t="shared" si="5"/>
        <v>OK</v>
      </c>
      <c r="Z121" s="615" t="str">
        <f t="shared" si="5"/>
        <v>OK</v>
      </c>
      <c r="AA121" s="615" t="str">
        <f t="shared" si="5"/>
        <v>OK</v>
      </c>
      <c r="AB121" s="615" t="str">
        <f t="shared" si="5"/>
        <v>OK</v>
      </c>
      <c r="AC121" s="615" t="str">
        <f t="shared" si="5"/>
        <v>OK</v>
      </c>
      <c r="AD121" s="615" t="str">
        <f t="shared" si="5"/>
        <v>OK</v>
      </c>
      <c r="AE121" s="615" t="str">
        <f t="shared" si="5"/>
        <v>OK</v>
      </c>
      <c r="AF121" s="615" t="str">
        <f t="shared" si="5"/>
        <v>OK</v>
      </c>
      <c r="AG121" s="615" t="str">
        <f t="shared" si="5"/>
        <v>OK</v>
      </c>
      <c r="AH121" s="615" t="str">
        <f t="shared" si="5"/>
        <v>OK</v>
      </c>
      <c r="AI121" s="615" t="str">
        <f t="shared" si="5"/>
        <v>OK</v>
      </c>
      <c r="AJ121" s="615" t="str">
        <f t="shared" si="5"/>
        <v>OK</v>
      </c>
      <c r="AK121" s="615" t="str">
        <f t="shared" si="5"/>
        <v>OK</v>
      </c>
      <c r="AL121" s="615" t="str">
        <f t="shared" si="5"/>
        <v>OK</v>
      </c>
      <c r="AM121" s="616" t="str">
        <f t="shared" si="5"/>
        <v>OK</v>
      </c>
      <c r="AN121" s="22"/>
    </row>
    <row r="122" spans="1:40" ht="14.25" outlineLevel="2">
      <c r="A122" s="629"/>
      <c r="B122" s="630"/>
      <c r="C122" s="630"/>
      <c r="D122" s="631"/>
      <c r="E122" s="99"/>
      <c r="F122" s="112"/>
      <c r="G122" s="113"/>
      <c r="H122" s="113"/>
      <c r="I122" s="120"/>
      <c r="J122" s="614"/>
      <c r="K122" s="615"/>
      <c r="L122" s="615"/>
      <c r="M122" s="615"/>
      <c r="N122" s="615"/>
      <c r="O122" s="615"/>
      <c r="P122" s="615"/>
      <c r="Q122" s="615"/>
      <c r="R122" s="615"/>
      <c r="S122" s="615"/>
      <c r="T122" s="615"/>
      <c r="U122" s="615"/>
      <c r="V122" s="615"/>
      <c r="W122" s="615"/>
      <c r="X122" s="615" t="str">
        <f aca="true" t="shared" si="6" ref="X122:AM122">+IF(W44+X35-X40+(X49-W49)+(X99-W99)+X104-X44=0,"OK",W44+X35-X40+(X49-W49)+(X99-W99)+X104-X44)</f>
        <v>OK</v>
      </c>
      <c r="Y122" s="615" t="str">
        <f t="shared" si="6"/>
        <v>OK</v>
      </c>
      <c r="Z122" s="615" t="str">
        <f t="shared" si="6"/>
        <v>OK</v>
      </c>
      <c r="AA122" s="615" t="str">
        <f t="shared" si="6"/>
        <v>OK</v>
      </c>
      <c r="AB122" s="615" t="str">
        <f t="shared" si="6"/>
        <v>OK</v>
      </c>
      <c r="AC122" s="615" t="str">
        <f t="shared" si="6"/>
        <v>OK</v>
      </c>
      <c r="AD122" s="615" t="str">
        <f t="shared" si="6"/>
        <v>OK</v>
      </c>
      <c r="AE122" s="615" t="str">
        <f t="shared" si="6"/>
        <v>OK</v>
      </c>
      <c r="AF122" s="615" t="str">
        <f t="shared" si="6"/>
        <v>OK</v>
      </c>
      <c r="AG122" s="615" t="str">
        <f t="shared" si="6"/>
        <v>OK</v>
      </c>
      <c r="AH122" s="615" t="str">
        <f t="shared" si="6"/>
        <v>OK</v>
      </c>
      <c r="AI122" s="615" t="str">
        <f t="shared" si="6"/>
        <v>OK</v>
      </c>
      <c r="AJ122" s="615" t="str">
        <f t="shared" si="6"/>
        <v>OK</v>
      </c>
      <c r="AK122" s="615" t="str">
        <f t="shared" si="6"/>
        <v>OK</v>
      </c>
      <c r="AL122" s="615" t="str">
        <f t="shared" si="6"/>
        <v>OK</v>
      </c>
      <c r="AM122" s="616" t="str">
        <f t="shared" si="6"/>
        <v>OK</v>
      </c>
      <c r="AN122" s="22"/>
    </row>
    <row r="123" spans="1:40" ht="14.25" outlineLevel="2">
      <c r="A123" s="629"/>
      <c r="B123" s="630"/>
      <c r="C123" s="630"/>
      <c r="D123" s="631"/>
      <c r="E123" s="99"/>
      <c r="F123" s="152"/>
      <c r="G123" s="113"/>
      <c r="H123" s="113"/>
      <c r="I123" s="120"/>
      <c r="J123" s="614"/>
      <c r="K123" s="615"/>
      <c r="L123" s="615"/>
      <c r="M123" s="615"/>
      <c r="N123" s="615"/>
      <c r="O123" s="615"/>
      <c r="P123" s="615"/>
      <c r="Q123" s="615"/>
      <c r="R123" s="615"/>
      <c r="S123" s="615"/>
      <c r="T123" s="615"/>
      <c r="U123" s="615"/>
      <c r="V123" s="615"/>
      <c r="W123" s="615"/>
      <c r="X123" s="615" t="str">
        <f aca="true" t="shared" si="7" ref="X123:AM123">+IF(W99-X100-X99=0,"OK",W99-X100-X99)</f>
        <v>OK</v>
      </c>
      <c r="Y123" s="615" t="str">
        <f t="shared" si="7"/>
        <v>OK</v>
      </c>
      <c r="Z123" s="615" t="str">
        <f t="shared" si="7"/>
        <v>OK</v>
      </c>
      <c r="AA123" s="615" t="str">
        <f t="shared" si="7"/>
        <v>OK</v>
      </c>
      <c r="AB123" s="615" t="str">
        <f t="shared" si="7"/>
        <v>OK</v>
      </c>
      <c r="AC123" s="615" t="str">
        <f t="shared" si="7"/>
        <v>OK</v>
      </c>
      <c r="AD123" s="615" t="str">
        <f t="shared" si="7"/>
        <v>OK</v>
      </c>
      <c r="AE123" s="615" t="str">
        <f t="shared" si="7"/>
        <v>OK</v>
      </c>
      <c r="AF123" s="615" t="str">
        <f t="shared" si="7"/>
        <v>OK</v>
      </c>
      <c r="AG123" s="615" t="str">
        <f t="shared" si="7"/>
        <v>OK</v>
      </c>
      <c r="AH123" s="615" t="str">
        <f t="shared" si="7"/>
        <v>OK</v>
      </c>
      <c r="AI123" s="615" t="str">
        <f t="shared" si="7"/>
        <v>OK</v>
      </c>
      <c r="AJ123" s="615" t="str">
        <f t="shared" si="7"/>
        <v>OK</v>
      </c>
      <c r="AK123" s="615" t="str">
        <f t="shared" si="7"/>
        <v>OK</v>
      </c>
      <c r="AL123" s="615" t="str">
        <f t="shared" si="7"/>
        <v>OK</v>
      </c>
      <c r="AM123" s="616" t="str">
        <f t="shared" si="7"/>
        <v>OK</v>
      </c>
      <c r="AN123" s="22"/>
    </row>
    <row r="124" spans="1:40" ht="14.25" outlineLevel="2">
      <c r="A124" s="629"/>
      <c r="B124" s="630"/>
      <c r="C124" s="630"/>
      <c r="D124" s="631"/>
      <c r="E124" s="99"/>
      <c r="F124" s="112"/>
      <c r="G124" s="113"/>
      <c r="H124" s="113"/>
      <c r="I124" s="120"/>
      <c r="J124" s="614"/>
      <c r="K124" s="615"/>
      <c r="L124" s="615"/>
      <c r="M124" s="615"/>
      <c r="N124" s="615"/>
      <c r="O124" s="615"/>
      <c r="P124" s="615"/>
      <c r="Q124" s="615"/>
      <c r="R124" s="615"/>
      <c r="S124" s="615"/>
      <c r="T124" s="615"/>
      <c r="U124" s="615"/>
      <c r="V124" s="615"/>
      <c r="W124" s="615"/>
      <c r="X124" s="615" t="str">
        <f aca="true" t="shared" si="8" ref="X124:AM124">IF(W90-(W92+W93+W94+W95)-X90=0,"OK",W90-(W92+W93+W94+W95)-X90)</f>
        <v>OK</v>
      </c>
      <c r="Y124" s="615" t="str">
        <f t="shared" si="8"/>
        <v>OK</v>
      </c>
      <c r="Z124" s="615" t="str">
        <f t="shared" si="8"/>
        <v>OK</v>
      </c>
      <c r="AA124" s="615" t="str">
        <f t="shared" si="8"/>
        <v>OK</v>
      </c>
      <c r="AB124" s="615" t="str">
        <f t="shared" si="8"/>
        <v>OK</v>
      </c>
      <c r="AC124" s="615" t="str">
        <f t="shared" si="8"/>
        <v>OK</v>
      </c>
      <c r="AD124" s="615" t="str">
        <f t="shared" si="8"/>
        <v>OK</v>
      </c>
      <c r="AE124" s="615" t="str">
        <f t="shared" si="8"/>
        <v>OK</v>
      </c>
      <c r="AF124" s="615" t="str">
        <f t="shared" si="8"/>
        <v>OK</v>
      </c>
      <c r="AG124" s="615" t="str">
        <f t="shared" si="8"/>
        <v>OK</v>
      </c>
      <c r="AH124" s="615" t="str">
        <f t="shared" si="8"/>
        <v>OK</v>
      </c>
      <c r="AI124" s="615" t="str">
        <f t="shared" si="8"/>
        <v>OK</v>
      </c>
      <c r="AJ124" s="615" t="str">
        <f t="shared" si="8"/>
        <v>OK</v>
      </c>
      <c r="AK124" s="615" t="str">
        <f t="shared" si="8"/>
        <v>OK</v>
      </c>
      <c r="AL124" s="615" t="str">
        <f t="shared" si="8"/>
        <v>OK</v>
      </c>
      <c r="AM124" s="616" t="str">
        <f t="shared" si="8"/>
        <v>OK</v>
      </c>
      <c r="AN124" s="22"/>
    </row>
    <row r="125" spans="1:40" ht="14.25" outlineLevel="1">
      <c r="A125" s="629"/>
      <c r="B125" s="630"/>
      <c r="C125" s="630"/>
      <c r="D125" s="631"/>
      <c r="E125" s="100"/>
      <c r="F125" s="112"/>
      <c r="G125" s="113"/>
      <c r="H125" s="113"/>
      <c r="I125" s="120"/>
      <c r="J125" s="149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 t="str">
        <f aca="true" t="shared" si="9" ref="X125:AM125">IF(X29&lt;0,IF(X32+X34+X36+X38+X29=0,"OK",X32+X34+X36+X38+X29),"N/D")</f>
        <v>N/D</v>
      </c>
      <c r="Y125" s="150" t="str">
        <f t="shared" si="9"/>
        <v>N/D</v>
      </c>
      <c r="Z125" s="150" t="str">
        <f t="shared" si="9"/>
        <v>N/D</v>
      </c>
      <c r="AA125" s="150" t="str">
        <f t="shared" si="9"/>
        <v>N/D</v>
      </c>
      <c r="AB125" s="150" t="str">
        <f t="shared" si="9"/>
        <v>N/D</v>
      </c>
      <c r="AC125" s="150" t="str">
        <f t="shared" si="9"/>
        <v>N/D</v>
      </c>
      <c r="AD125" s="150" t="str">
        <f t="shared" si="9"/>
        <v>N/D</v>
      </c>
      <c r="AE125" s="150" t="str">
        <f t="shared" si="9"/>
        <v>N/D</v>
      </c>
      <c r="AF125" s="150" t="str">
        <f t="shared" si="9"/>
        <v>N/D</v>
      </c>
      <c r="AG125" s="150" t="str">
        <f t="shared" si="9"/>
        <v>N/D</v>
      </c>
      <c r="AH125" s="150" t="str">
        <f t="shared" si="9"/>
        <v>N/D</v>
      </c>
      <c r="AI125" s="150" t="str">
        <f t="shared" si="9"/>
        <v>N/D</v>
      </c>
      <c r="AJ125" s="150" t="str">
        <f t="shared" si="9"/>
        <v>N/D</v>
      </c>
      <c r="AK125" s="150" t="str">
        <f t="shared" si="9"/>
        <v>N/D</v>
      </c>
      <c r="AL125" s="150" t="str">
        <f t="shared" si="9"/>
        <v>N/D</v>
      </c>
      <c r="AM125" s="151" t="str">
        <f t="shared" si="9"/>
        <v>N/D</v>
      </c>
      <c r="AN125" s="22"/>
    </row>
    <row r="126" spans="1:40" ht="14.25" outlineLevel="2">
      <c r="A126" s="629"/>
      <c r="B126" s="630"/>
      <c r="C126" s="630"/>
      <c r="D126" s="631"/>
      <c r="E126" s="100"/>
      <c r="F126" s="112"/>
      <c r="G126" s="113"/>
      <c r="H126" s="113"/>
      <c r="I126" s="120"/>
      <c r="J126" s="149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 t="str">
        <f aca="true" t="shared" si="10" ref="X126:AM126">IF(X29&gt;=0,IF(X32+X34+X36+X38=0,"OK",X32+X34+X36+X38),"N/D")</f>
        <v>OK</v>
      </c>
      <c r="Y126" s="150" t="str">
        <f t="shared" si="10"/>
        <v>OK</v>
      </c>
      <c r="Z126" s="150" t="str">
        <f t="shared" si="10"/>
        <v>OK</v>
      </c>
      <c r="AA126" s="150" t="str">
        <f t="shared" si="10"/>
        <v>OK</v>
      </c>
      <c r="AB126" s="150" t="str">
        <f t="shared" si="10"/>
        <v>OK</v>
      </c>
      <c r="AC126" s="150" t="str">
        <f t="shared" si="10"/>
        <v>OK</v>
      </c>
      <c r="AD126" s="150" t="str">
        <f t="shared" si="10"/>
        <v>OK</v>
      </c>
      <c r="AE126" s="150" t="str">
        <f t="shared" si="10"/>
        <v>OK</v>
      </c>
      <c r="AF126" s="150" t="str">
        <f t="shared" si="10"/>
        <v>OK</v>
      </c>
      <c r="AG126" s="150" t="str">
        <f t="shared" si="10"/>
        <v>OK</v>
      </c>
      <c r="AH126" s="150" t="str">
        <f t="shared" si="10"/>
        <v>OK</v>
      </c>
      <c r="AI126" s="150" t="str">
        <f t="shared" si="10"/>
        <v>OK</v>
      </c>
      <c r="AJ126" s="150" t="str">
        <f t="shared" si="10"/>
        <v>OK</v>
      </c>
      <c r="AK126" s="150" t="str">
        <f t="shared" si="10"/>
        <v>OK</v>
      </c>
      <c r="AL126" s="150" t="str">
        <f t="shared" si="10"/>
        <v>OK</v>
      </c>
      <c r="AM126" s="151" t="str">
        <f t="shared" si="10"/>
        <v>OK</v>
      </c>
      <c r="AN126" s="22"/>
    </row>
    <row r="127" spans="1:40" ht="14.25" outlineLevel="2">
      <c r="A127" s="629"/>
      <c r="B127" s="630"/>
      <c r="C127" s="630"/>
      <c r="D127" s="631"/>
      <c r="E127" s="100"/>
      <c r="F127" s="112"/>
      <c r="G127" s="113"/>
      <c r="H127" s="113"/>
      <c r="I127" s="120"/>
      <c r="J127" s="117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 t="str">
        <f aca="true" t="shared" si="11" ref="X127:AM127">IF(X14&gt;=X15,"OK","BŁĄD")</f>
        <v>OK</v>
      </c>
      <c r="Y127" s="91" t="str">
        <f t="shared" si="11"/>
        <v>OK</v>
      </c>
      <c r="Z127" s="91" t="str">
        <f t="shared" si="11"/>
        <v>OK</v>
      </c>
      <c r="AA127" s="91" t="str">
        <f t="shared" si="11"/>
        <v>OK</v>
      </c>
      <c r="AB127" s="91" t="str">
        <f t="shared" si="11"/>
        <v>OK</v>
      </c>
      <c r="AC127" s="91" t="str">
        <f t="shared" si="11"/>
        <v>OK</v>
      </c>
      <c r="AD127" s="91" t="str">
        <f t="shared" si="11"/>
        <v>OK</v>
      </c>
      <c r="AE127" s="91" t="str">
        <f t="shared" si="11"/>
        <v>OK</v>
      </c>
      <c r="AF127" s="91" t="str">
        <f t="shared" si="11"/>
        <v>OK</v>
      </c>
      <c r="AG127" s="91" t="str">
        <f t="shared" si="11"/>
        <v>OK</v>
      </c>
      <c r="AH127" s="91" t="str">
        <f t="shared" si="11"/>
        <v>OK</v>
      </c>
      <c r="AI127" s="91" t="str">
        <f t="shared" si="11"/>
        <v>OK</v>
      </c>
      <c r="AJ127" s="91" t="str">
        <f t="shared" si="11"/>
        <v>OK</v>
      </c>
      <c r="AK127" s="91" t="str">
        <f t="shared" si="11"/>
        <v>OK</v>
      </c>
      <c r="AL127" s="91" t="str">
        <f t="shared" si="11"/>
        <v>OK</v>
      </c>
      <c r="AM127" s="92" t="str">
        <f t="shared" si="11"/>
        <v>OK</v>
      </c>
      <c r="AN127" s="22"/>
    </row>
    <row r="128" spans="1:40" ht="14.25" outlineLevel="2">
      <c r="A128" s="629"/>
      <c r="B128" s="630"/>
      <c r="C128" s="630"/>
      <c r="D128" s="631"/>
      <c r="E128" s="100"/>
      <c r="F128" s="112"/>
      <c r="G128" s="113"/>
      <c r="H128" s="113"/>
      <c r="I128" s="120"/>
      <c r="J128" s="117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 t="str">
        <f aca="true" t="shared" si="12" ref="X128:AM128">IF(X17&gt;=X91,"OK","BŁĄD")</f>
        <v>OK</v>
      </c>
      <c r="Y128" s="91" t="str">
        <f t="shared" si="12"/>
        <v>OK</v>
      </c>
      <c r="Z128" s="91" t="str">
        <f t="shared" si="12"/>
        <v>OK</v>
      </c>
      <c r="AA128" s="91" t="str">
        <f t="shared" si="12"/>
        <v>OK</v>
      </c>
      <c r="AB128" s="91" t="str">
        <f t="shared" si="12"/>
        <v>OK</v>
      </c>
      <c r="AC128" s="91" t="str">
        <f t="shared" si="12"/>
        <v>OK</v>
      </c>
      <c r="AD128" s="91" t="str">
        <f t="shared" si="12"/>
        <v>OK</v>
      </c>
      <c r="AE128" s="91" t="str">
        <f t="shared" si="12"/>
        <v>OK</v>
      </c>
      <c r="AF128" s="91" t="str">
        <f t="shared" si="12"/>
        <v>OK</v>
      </c>
      <c r="AG128" s="91" t="str">
        <f t="shared" si="12"/>
        <v>OK</v>
      </c>
      <c r="AH128" s="91" t="str">
        <f t="shared" si="12"/>
        <v>OK</v>
      </c>
      <c r="AI128" s="91" t="str">
        <f t="shared" si="12"/>
        <v>OK</v>
      </c>
      <c r="AJ128" s="91" t="str">
        <f t="shared" si="12"/>
        <v>OK</v>
      </c>
      <c r="AK128" s="91" t="str">
        <f t="shared" si="12"/>
        <v>OK</v>
      </c>
      <c r="AL128" s="91" t="str">
        <f t="shared" si="12"/>
        <v>OK</v>
      </c>
      <c r="AM128" s="92" t="str">
        <f t="shared" si="12"/>
        <v>OK</v>
      </c>
      <c r="AN128" s="22"/>
    </row>
    <row r="129" spans="1:40" ht="14.25" outlineLevel="2">
      <c r="A129" s="629"/>
      <c r="B129" s="630"/>
      <c r="C129" s="630"/>
      <c r="D129" s="631"/>
      <c r="E129" s="100"/>
      <c r="F129" s="112"/>
      <c r="G129" s="113"/>
      <c r="H129" s="113"/>
      <c r="I129" s="120"/>
      <c r="J129" s="117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 t="str">
        <f aca="true" t="shared" si="13" ref="X129:AM129">IF(X11&gt;=X12+X13+X14+X16+X17,"OK","BŁĄD")</f>
        <v>OK</v>
      </c>
      <c r="Y129" s="91" t="str">
        <f t="shared" si="13"/>
        <v>OK</v>
      </c>
      <c r="Z129" s="91" t="str">
        <f t="shared" si="13"/>
        <v>OK</v>
      </c>
      <c r="AA129" s="91" t="str">
        <f t="shared" si="13"/>
        <v>OK</v>
      </c>
      <c r="AB129" s="91" t="str">
        <f t="shared" si="13"/>
        <v>OK</v>
      </c>
      <c r="AC129" s="91" t="str">
        <f t="shared" si="13"/>
        <v>OK</v>
      </c>
      <c r="AD129" s="91" t="str">
        <f t="shared" si="13"/>
        <v>OK</v>
      </c>
      <c r="AE129" s="91" t="str">
        <f t="shared" si="13"/>
        <v>OK</v>
      </c>
      <c r="AF129" s="91" t="str">
        <f t="shared" si="13"/>
        <v>OK</v>
      </c>
      <c r="AG129" s="91" t="str">
        <f t="shared" si="13"/>
        <v>OK</v>
      </c>
      <c r="AH129" s="91" t="str">
        <f t="shared" si="13"/>
        <v>OK</v>
      </c>
      <c r="AI129" s="91" t="str">
        <f t="shared" si="13"/>
        <v>OK</v>
      </c>
      <c r="AJ129" s="91" t="str">
        <f t="shared" si="13"/>
        <v>OK</v>
      </c>
      <c r="AK129" s="91" t="str">
        <f t="shared" si="13"/>
        <v>OK</v>
      </c>
      <c r="AL129" s="91" t="str">
        <f t="shared" si="13"/>
        <v>OK</v>
      </c>
      <c r="AM129" s="92" t="str">
        <f t="shared" si="13"/>
        <v>OK</v>
      </c>
      <c r="AN129" s="22"/>
    </row>
    <row r="130" spans="1:40" ht="14.25" outlineLevel="2">
      <c r="A130" s="629"/>
      <c r="B130" s="630"/>
      <c r="C130" s="630"/>
      <c r="D130" s="631"/>
      <c r="E130" s="100"/>
      <c r="F130" s="112"/>
      <c r="G130" s="113"/>
      <c r="H130" s="113"/>
      <c r="I130" s="120"/>
      <c r="J130" s="117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 t="str">
        <f aca="true" t="shared" si="14" ref="X130:AM130">IF(X11&gt;=X77,"OK","BŁĄD")</f>
        <v>OK</v>
      </c>
      <c r="Y130" s="91" t="str">
        <f t="shared" si="14"/>
        <v>OK</v>
      </c>
      <c r="Z130" s="91" t="str">
        <f t="shared" si="14"/>
        <v>OK</v>
      </c>
      <c r="AA130" s="91" t="str">
        <f t="shared" si="14"/>
        <v>OK</v>
      </c>
      <c r="AB130" s="91" t="str">
        <f t="shared" si="14"/>
        <v>OK</v>
      </c>
      <c r="AC130" s="91" t="str">
        <f t="shared" si="14"/>
        <v>OK</v>
      </c>
      <c r="AD130" s="91" t="str">
        <f t="shared" si="14"/>
        <v>OK</v>
      </c>
      <c r="AE130" s="91" t="str">
        <f t="shared" si="14"/>
        <v>OK</v>
      </c>
      <c r="AF130" s="91" t="str">
        <f t="shared" si="14"/>
        <v>OK</v>
      </c>
      <c r="AG130" s="91" t="str">
        <f t="shared" si="14"/>
        <v>OK</v>
      </c>
      <c r="AH130" s="91" t="str">
        <f t="shared" si="14"/>
        <v>OK</v>
      </c>
      <c r="AI130" s="91" t="str">
        <f t="shared" si="14"/>
        <v>OK</v>
      </c>
      <c r="AJ130" s="91" t="str">
        <f t="shared" si="14"/>
        <v>OK</v>
      </c>
      <c r="AK130" s="91" t="str">
        <f t="shared" si="14"/>
        <v>OK</v>
      </c>
      <c r="AL130" s="91" t="str">
        <f t="shared" si="14"/>
        <v>OK</v>
      </c>
      <c r="AM130" s="92" t="str">
        <f t="shared" si="14"/>
        <v>OK</v>
      </c>
      <c r="AN130" s="22"/>
    </row>
    <row r="131" spans="1:40" ht="14.25" outlineLevel="2">
      <c r="A131" s="629"/>
      <c r="B131" s="630"/>
      <c r="C131" s="630"/>
      <c r="D131" s="631"/>
      <c r="E131" s="100"/>
      <c r="F131" s="112"/>
      <c r="G131" s="113"/>
      <c r="H131" s="113"/>
      <c r="I131" s="120"/>
      <c r="J131" s="117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 t="str">
        <f aca="true" t="shared" si="15" ref="X131:AM131">IF(X18&gt;=X19,"OK","BŁĄD")</f>
        <v>OK</v>
      </c>
      <c r="Y131" s="91" t="str">
        <f t="shared" si="15"/>
        <v>OK</v>
      </c>
      <c r="Z131" s="91" t="str">
        <f t="shared" si="15"/>
        <v>OK</v>
      </c>
      <c r="AA131" s="91" t="str">
        <f t="shared" si="15"/>
        <v>OK</v>
      </c>
      <c r="AB131" s="91" t="str">
        <f t="shared" si="15"/>
        <v>OK</v>
      </c>
      <c r="AC131" s="91" t="str">
        <f t="shared" si="15"/>
        <v>OK</v>
      </c>
      <c r="AD131" s="91" t="str">
        <f t="shared" si="15"/>
        <v>OK</v>
      </c>
      <c r="AE131" s="91" t="str">
        <f t="shared" si="15"/>
        <v>OK</v>
      </c>
      <c r="AF131" s="91" t="str">
        <f t="shared" si="15"/>
        <v>OK</v>
      </c>
      <c r="AG131" s="91" t="str">
        <f t="shared" si="15"/>
        <v>OK</v>
      </c>
      <c r="AH131" s="91" t="str">
        <f t="shared" si="15"/>
        <v>OK</v>
      </c>
      <c r="AI131" s="91" t="str">
        <f t="shared" si="15"/>
        <v>OK</v>
      </c>
      <c r="AJ131" s="91" t="str">
        <f t="shared" si="15"/>
        <v>OK</v>
      </c>
      <c r="AK131" s="91" t="str">
        <f t="shared" si="15"/>
        <v>OK</v>
      </c>
      <c r="AL131" s="91" t="str">
        <f t="shared" si="15"/>
        <v>OK</v>
      </c>
      <c r="AM131" s="92" t="str">
        <f t="shared" si="15"/>
        <v>OK</v>
      </c>
      <c r="AN131" s="22"/>
    </row>
    <row r="132" spans="1:40" ht="14.25" outlineLevel="2">
      <c r="A132" s="629"/>
      <c r="B132" s="630"/>
      <c r="C132" s="630"/>
      <c r="D132" s="631"/>
      <c r="E132" s="100"/>
      <c r="F132" s="112"/>
      <c r="G132" s="113"/>
      <c r="H132" s="113"/>
      <c r="I132" s="120"/>
      <c r="J132" s="117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 t="str">
        <f aca="true" t="shared" si="16" ref="X132:AM132">IF(X18&gt;=X20,"OK","BŁĄD")</f>
        <v>OK</v>
      </c>
      <c r="Y132" s="91" t="str">
        <f t="shared" si="16"/>
        <v>OK</v>
      </c>
      <c r="Z132" s="91" t="str">
        <f t="shared" si="16"/>
        <v>OK</v>
      </c>
      <c r="AA132" s="91" t="str">
        <f t="shared" si="16"/>
        <v>OK</v>
      </c>
      <c r="AB132" s="91" t="str">
        <f t="shared" si="16"/>
        <v>OK</v>
      </c>
      <c r="AC132" s="91" t="str">
        <f t="shared" si="16"/>
        <v>OK</v>
      </c>
      <c r="AD132" s="91" t="str">
        <f t="shared" si="16"/>
        <v>OK</v>
      </c>
      <c r="AE132" s="91" t="str">
        <f t="shared" si="16"/>
        <v>OK</v>
      </c>
      <c r="AF132" s="91" t="str">
        <f t="shared" si="16"/>
        <v>OK</v>
      </c>
      <c r="AG132" s="91" t="str">
        <f t="shared" si="16"/>
        <v>OK</v>
      </c>
      <c r="AH132" s="91" t="str">
        <f t="shared" si="16"/>
        <v>OK</v>
      </c>
      <c r="AI132" s="91" t="str">
        <f t="shared" si="16"/>
        <v>OK</v>
      </c>
      <c r="AJ132" s="91" t="str">
        <f t="shared" si="16"/>
        <v>OK</v>
      </c>
      <c r="AK132" s="91" t="str">
        <f t="shared" si="16"/>
        <v>OK</v>
      </c>
      <c r="AL132" s="91" t="str">
        <f t="shared" si="16"/>
        <v>OK</v>
      </c>
      <c r="AM132" s="92" t="str">
        <f t="shared" si="16"/>
        <v>OK</v>
      </c>
      <c r="AN132" s="22"/>
    </row>
    <row r="133" spans="1:40" ht="14.25" outlineLevel="2">
      <c r="A133" s="629"/>
      <c r="B133" s="630"/>
      <c r="C133" s="630"/>
      <c r="D133" s="631"/>
      <c r="E133" s="100"/>
      <c r="F133" s="112"/>
      <c r="G133" s="113"/>
      <c r="H133" s="113"/>
      <c r="I133" s="120"/>
      <c r="J133" s="117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 t="str">
        <f aca="true" t="shared" si="17" ref="X133:AM133">IF(X18&gt;=X80,"OK","BŁĄD")</f>
        <v>OK</v>
      </c>
      <c r="Y133" s="91" t="str">
        <f t="shared" si="17"/>
        <v>OK</v>
      </c>
      <c r="Z133" s="91" t="str">
        <f t="shared" si="17"/>
        <v>OK</v>
      </c>
      <c r="AA133" s="91" t="str">
        <f t="shared" si="17"/>
        <v>OK</v>
      </c>
      <c r="AB133" s="91" t="str">
        <f t="shared" si="17"/>
        <v>OK</v>
      </c>
      <c r="AC133" s="91" t="str">
        <f t="shared" si="17"/>
        <v>OK</v>
      </c>
      <c r="AD133" s="91" t="str">
        <f t="shared" si="17"/>
        <v>OK</v>
      </c>
      <c r="AE133" s="91" t="str">
        <f t="shared" si="17"/>
        <v>OK</v>
      </c>
      <c r="AF133" s="91" t="str">
        <f t="shared" si="17"/>
        <v>OK</v>
      </c>
      <c r="AG133" s="91" t="str">
        <f t="shared" si="17"/>
        <v>OK</v>
      </c>
      <c r="AH133" s="91" t="str">
        <f t="shared" si="17"/>
        <v>OK</v>
      </c>
      <c r="AI133" s="91" t="str">
        <f t="shared" si="17"/>
        <v>OK</v>
      </c>
      <c r="AJ133" s="91" t="str">
        <f t="shared" si="17"/>
        <v>OK</v>
      </c>
      <c r="AK133" s="91" t="str">
        <f t="shared" si="17"/>
        <v>OK</v>
      </c>
      <c r="AL133" s="91" t="str">
        <f t="shared" si="17"/>
        <v>OK</v>
      </c>
      <c r="AM133" s="92" t="str">
        <f t="shared" si="17"/>
        <v>OK</v>
      </c>
      <c r="AN133" s="22"/>
    </row>
    <row r="134" spans="1:40" ht="14.25" outlineLevel="2">
      <c r="A134" s="629"/>
      <c r="B134" s="630"/>
      <c r="C134" s="630"/>
      <c r="D134" s="631"/>
      <c r="E134" s="100"/>
      <c r="F134" s="112"/>
      <c r="G134" s="113"/>
      <c r="H134" s="113"/>
      <c r="I134" s="120"/>
      <c r="J134" s="117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 t="str">
        <f aca="true" t="shared" si="18" ref="X134:AM134">IF(X65&gt;=X66,"OK","BŁĄD")</f>
        <v>OK</v>
      </c>
      <c r="Y134" s="91" t="str">
        <f t="shared" si="18"/>
        <v>OK</v>
      </c>
      <c r="Z134" s="91" t="str">
        <f t="shared" si="18"/>
        <v>OK</v>
      </c>
      <c r="AA134" s="91" t="str">
        <f t="shared" si="18"/>
        <v>OK</v>
      </c>
      <c r="AB134" s="91" t="str">
        <f t="shared" si="18"/>
        <v>OK</v>
      </c>
      <c r="AC134" s="91" t="str">
        <f t="shared" si="18"/>
        <v>OK</v>
      </c>
      <c r="AD134" s="91" t="str">
        <f t="shared" si="18"/>
        <v>OK</v>
      </c>
      <c r="AE134" s="91" t="str">
        <f t="shared" si="18"/>
        <v>OK</v>
      </c>
      <c r="AF134" s="91" t="str">
        <f t="shared" si="18"/>
        <v>OK</v>
      </c>
      <c r="AG134" s="91" t="str">
        <f t="shared" si="18"/>
        <v>OK</v>
      </c>
      <c r="AH134" s="91" t="str">
        <f t="shared" si="18"/>
        <v>OK</v>
      </c>
      <c r="AI134" s="91" t="str">
        <f t="shared" si="18"/>
        <v>OK</v>
      </c>
      <c r="AJ134" s="91" t="str">
        <f t="shared" si="18"/>
        <v>OK</v>
      </c>
      <c r="AK134" s="91" t="str">
        <f t="shared" si="18"/>
        <v>OK</v>
      </c>
      <c r="AL134" s="91" t="str">
        <f t="shared" si="18"/>
        <v>OK</v>
      </c>
      <c r="AM134" s="92" t="str">
        <f t="shared" si="18"/>
        <v>OK</v>
      </c>
      <c r="AN134" s="22"/>
    </row>
    <row r="135" spans="1:40" ht="14.25" outlineLevel="2">
      <c r="A135" s="629"/>
      <c r="B135" s="630"/>
      <c r="C135" s="630"/>
      <c r="D135" s="631"/>
      <c r="E135" s="100"/>
      <c r="F135" s="112"/>
      <c r="G135" s="113"/>
      <c r="H135" s="113"/>
      <c r="I135" s="120"/>
      <c r="J135" s="117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 t="str">
        <f aca="true" t="shared" si="19" ref="X135:AM135">IF(X77&gt;=X78,"OK","BŁĄD")</f>
        <v>OK</v>
      </c>
      <c r="Y135" s="91" t="str">
        <f t="shared" si="19"/>
        <v>OK</v>
      </c>
      <c r="Z135" s="91" t="str">
        <f t="shared" si="19"/>
        <v>OK</v>
      </c>
      <c r="AA135" s="91" t="str">
        <f t="shared" si="19"/>
        <v>OK</v>
      </c>
      <c r="AB135" s="91" t="str">
        <f t="shared" si="19"/>
        <v>OK</v>
      </c>
      <c r="AC135" s="91" t="str">
        <f t="shared" si="19"/>
        <v>OK</v>
      </c>
      <c r="AD135" s="91" t="str">
        <f t="shared" si="19"/>
        <v>OK</v>
      </c>
      <c r="AE135" s="91" t="str">
        <f t="shared" si="19"/>
        <v>OK</v>
      </c>
      <c r="AF135" s="91" t="str">
        <f t="shared" si="19"/>
        <v>OK</v>
      </c>
      <c r="AG135" s="91" t="str">
        <f t="shared" si="19"/>
        <v>OK</v>
      </c>
      <c r="AH135" s="91" t="str">
        <f t="shared" si="19"/>
        <v>OK</v>
      </c>
      <c r="AI135" s="91" t="str">
        <f t="shared" si="19"/>
        <v>OK</v>
      </c>
      <c r="AJ135" s="91" t="str">
        <f t="shared" si="19"/>
        <v>OK</v>
      </c>
      <c r="AK135" s="91" t="str">
        <f t="shared" si="19"/>
        <v>OK</v>
      </c>
      <c r="AL135" s="91" t="str">
        <f t="shared" si="19"/>
        <v>OK</v>
      </c>
      <c r="AM135" s="92" t="str">
        <f t="shared" si="19"/>
        <v>OK</v>
      </c>
      <c r="AN135" s="22"/>
    </row>
    <row r="136" spans="1:40" ht="14.25" outlineLevel="2">
      <c r="A136" s="629"/>
      <c r="B136" s="630"/>
      <c r="C136" s="630"/>
      <c r="D136" s="631"/>
      <c r="E136" s="100"/>
      <c r="F136" s="112"/>
      <c r="G136" s="113"/>
      <c r="H136" s="113"/>
      <c r="I136" s="120"/>
      <c r="J136" s="117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 t="str">
        <f aca="true" t="shared" si="20" ref="X136:AM136">IF(X78&gt;=X79,"OK","BŁĄD")</f>
        <v>OK</v>
      </c>
      <c r="Y136" s="91" t="str">
        <f t="shared" si="20"/>
        <v>OK</v>
      </c>
      <c r="Z136" s="91" t="str">
        <f t="shared" si="20"/>
        <v>OK</v>
      </c>
      <c r="AA136" s="91" t="str">
        <f t="shared" si="20"/>
        <v>OK</v>
      </c>
      <c r="AB136" s="91" t="str">
        <f t="shared" si="20"/>
        <v>OK</v>
      </c>
      <c r="AC136" s="91" t="str">
        <f t="shared" si="20"/>
        <v>OK</v>
      </c>
      <c r="AD136" s="91" t="str">
        <f t="shared" si="20"/>
        <v>OK</v>
      </c>
      <c r="AE136" s="91" t="str">
        <f t="shared" si="20"/>
        <v>OK</v>
      </c>
      <c r="AF136" s="91" t="str">
        <f t="shared" si="20"/>
        <v>OK</v>
      </c>
      <c r="AG136" s="91" t="str">
        <f t="shared" si="20"/>
        <v>OK</v>
      </c>
      <c r="AH136" s="91" t="str">
        <f t="shared" si="20"/>
        <v>OK</v>
      </c>
      <c r="AI136" s="91" t="str">
        <f t="shared" si="20"/>
        <v>OK</v>
      </c>
      <c r="AJ136" s="91" t="str">
        <f t="shared" si="20"/>
        <v>OK</v>
      </c>
      <c r="AK136" s="91" t="str">
        <f t="shared" si="20"/>
        <v>OK</v>
      </c>
      <c r="AL136" s="91" t="str">
        <f t="shared" si="20"/>
        <v>OK</v>
      </c>
      <c r="AM136" s="92" t="str">
        <f t="shared" si="20"/>
        <v>OK</v>
      </c>
      <c r="AN136" s="22"/>
    </row>
    <row r="137" spans="1:40" ht="14.25" outlineLevel="2">
      <c r="A137" s="629"/>
      <c r="B137" s="630"/>
      <c r="C137" s="630"/>
      <c r="D137" s="631"/>
      <c r="E137" s="100"/>
      <c r="F137" s="112"/>
      <c r="G137" s="113"/>
      <c r="H137" s="113"/>
      <c r="I137" s="120"/>
      <c r="J137" s="117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 t="str">
        <f aca="true" t="shared" si="21" ref="X137:AM137">IF(X80&gt;=X81,"OK","BŁĄD")</f>
        <v>OK</v>
      </c>
      <c r="Y137" s="91" t="str">
        <f t="shared" si="21"/>
        <v>OK</v>
      </c>
      <c r="Z137" s="91" t="str">
        <f t="shared" si="21"/>
        <v>OK</v>
      </c>
      <c r="AA137" s="91" t="str">
        <f t="shared" si="21"/>
        <v>OK</v>
      </c>
      <c r="AB137" s="91" t="str">
        <f t="shared" si="21"/>
        <v>OK</v>
      </c>
      <c r="AC137" s="91" t="str">
        <f t="shared" si="21"/>
        <v>OK</v>
      </c>
      <c r="AD137" s="91" t="str">
        <f t="shared" si="21"/>
        <v>OK</v>
      </c>
      <c r="AE137" s="91" t="str">
        <f t="shared" si="21"/>
        <v>OK</v>
      </c>
      <c r="AF137" s="91" t="str">
        <f t="shared" si="21"/>
        <v>OK</v>
      </c>
      <c r="AG137" s="91" t="str">
        <f t="shared" si="21"/>
        <v>OK</v>
      </c>
      <c r="AH137" s="91" t="str">
        <f t="shared" si="21"/>
        <v>OK</v>
      </c>
      <c r="AI137" s="91" t="str">
        <f t="shared" si="21"/>
        <v>OK</v>
      </c>
      <c r="AJ137" s="91" t="str">
        <f t="shared" si="21"/>
        <v>OK</v>
      </c>
      <c r="AK137" s="91" t="str">
        <f t="shared" si="21"/>
        <v>OK</v>
      </c>
      <c r="AL137" s="91" t="str">
        <f t="shared" si="21"/>
        <v>OK</v>
      </c>
      <c r="AM137" s="92" t="str">
        <f t="shared" si="21"/>
        <v>OK</v>
      </c>
      <c r="AN137" s="22"/>
    </row>
    <row r="138" spans="1:40" ht="14.25" outlineLevel="2">
      <c r="A138" s="629"/>
      <c r="B138" s="630"/>
      <c r="C138" s="630"/>
      <c r="D138" s="631"/>
      <c r="E138" s="100"/>
      <c r="F138" s="112"/>
      <c r="G138" s="113"/>
      <c r="H138" s="113"/>
      <c r="I138" s="120"/>
      <c r="J138" s="117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 t="str">
        <f aca="true" t="shared" si="22" ref="X138:AM138">IF(X81&gt;=X82,"OK","BŁĄD")</f>
        <v>OK</v>
      </c>
      <c r="Y138" s="91" t="str">
        <f t="shared" si="22"/>
        <v>OK</v>
      </c>
      <c r="Z138" s="91" t="str">
        <f t="shared" si="22"/>
        <v>OK</v>
      </c>
      <c r="AA138" s="91" t="str">
        <f t="shared" si="22"/>
        <v>OK</v>
      </c>
      <c r="AB138" s="91" t="str">
        <f t="shared" si="22"/>
        <v>OK</v>
      </c>
      <c r="AC138" s="91" t="str">
        <f t="shared" si="22"/>
        <v>OK</v>
      </c>
      <c r="AD138" s="91" t="str">
        <f t="shared" si="22"/>
        <v>OK</v>
      </c>
      <c r="AE138" s="91" t="str">
        <f t="shared" si="22"/>
        <v>OK</v>
      </c>
      <c r="AF138" s="91" t="str">
        <f t="shared" si="22"/>
        <v>OK</v>
      </c>
      <c r="AG138" s="91" t="str">
        <f t="shared" si="22"/>
        <v>OK</v>
      </c>
      <c r="AH138" s="91" t="str">
        <f t="shared" si="22"/>
        <v>OK</v>
      </c>
      <c r="AI138" s="91" t="str">
        <f t="shared" si="22"/>
        <v>OK</v>
      </c>
      <c r="AJ138" s="91" t="str">
        <f t="shared" si="22"/>
        <v>OK</v>
      </c>
      <c r="AK138" s="91" t="str">
        <f t="shared" si="22"/>
        <v>OK</v>
      </c>
      <c r="AL138" s="91" t="str">
        <f t="shared" si="22"/>
        <v>OK</v>
      </c>
      <c r="AM138" s="92" t="str">
        <f t="shared" si="22"/>
        <v>OK</v>
      </c>
      <c r="AN138" s="22"/>
    </row>
    <row r="139" spans="1:40" ht="14.25" outlineLevel="2">
      <c r="A139" s="629"/>
      <c r="B139" s="630"/>
      <c r="C139" s="630"/>
      <c r="D139" s="631"/>
      <c r="E139" s="100"/>
      <c r="F139" s="112"/>
      <c r="G139" s="113"/>
      <c r="H139" s="113"/>
      <c r="I139" s="120"/>
      <c r="J139" s="117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 t="str">
        <f aca="true" t="shared" si="23" ref="X139:AM139">IF(X83&gt;=X84,"OK","BŁĄD")</f>
        <v>OK</v>
      </c>
      <c r="Y139" s="91" t="str">
        <f t="shared" si="23"/>
        <v>OK</v>
      </c>
      <c r="Z139" s="91" t="str">
        <f t="shared" si="23"/>
        <v>OK</v>
      </c>
      <c r="AA139" s="91" t="str">
        <f t="shared" si="23"/>
        <v>OK</v>
      </c>
      <c r="AB139" s="91" t="str">
        <f t="shared" si="23"/>
        <v>OK</v>
      </c>
      <c r="AC139" s="91" t="str">
        <f t="shared" si="23"/>
        <v>OK</v>
      </c>
      <c r="AD139" s="91" t="str">
        <f t="shared" si="23"/>
        <v>OK</v>
      </c>
      <c r="AE139" s="91" t="str">
        <f t="shared" si="23"/>
        <v>OK</v>
      </c>
      <c r="AF139" s="91" t="str">
        <f t="shared" si="23"/>
        <v>OK</v>
      </c>
      <c r="AG139" s="91" t="str">
        <f t="shared" si="23"/>
        <v>OK</v>
      </c>
      <c r="AH139" s="91" t="str">
        <f t="shared" si="23"/>
        <v>OK</v>
      </c>
      <c r="AI139" s="91" t="str">
        <f t="shared" si="23"/>
        <v>OK</v>
      </c>
      <c r="AJ139" s="91" t="str">
        <f t="shared" si="23"/>
        <v>OK</v>
      </c>
      <c r="AK139" s="91" t="str">
        <f t="shared" si="23"/>
        <v>OK</v>
      </c>
      <c r="AL139" s="91" t="str">
        <f t="shared" si="23"/>
        <v>OK</v>
      </c>
      <c r="AM139" s="92" t="str">
        <f t="shared" si="23"/>
        <v>OK</v>
      </c>
      <c r="AN139" s="22"/>
    </row>
    <row r="140" spans="1:40" ht="14.25" outlineLevel="2">
      <c r="A140" s="629"/>
      <c r="B140" s="630"/>
      <c r="C140" s="630"/>
      <c r="D140" s="631"/>
      <c r="E140" s="100"/>
      <c r="F140" s="112"/>
      <c r="G140" s="113"/>
      <c r="H140" s="113"/>
      <c r="I140" s="120"/>
      <c r="J140" s="117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 t="str">
        <f aca="true" t="shared" si="24" ref="X140:AM140">IF(X83&gt;=X85,"OK","BŁĄD")</f>
        <v>OK</v>
      </c>
      <c r="Y140" s="91" t="str">
        <f t="shared" si="24"/>
        <v>OK</v>
      </c>
      <c r="Z140" s="91" t="str">
        <f t="shared" si="24"/>
        <v>OK</v>
      </c>
      <c r="AA140" s="91" t="str">
        <f t="shared" si="24"/>
        <v>OK</v>
      </c>
      <c r="AB140" s="91" t="str">
        <f t="shared" si="24"/>
        <v>OK</v>
      </c>
      <c r="AC140" s="91" t="str">
        <f t="shared" si="24"/>
        <v>OK</v>
      </c>
      <c r="AD140" s="91" t="str">
        <f t="shared" si="24"/>
        <v>OK</v>
      </c>
      <c r="AE140" s="91" t="str">
        <f t="shared" si="24"/>
        <v>OK</v>
      </c>
      <c r="AF140" s="91" t="str">
        <f t="shared" si="24"/>
        <v>OK</v>
      </c>
      <c r="AG140" s="91" t="str">
        <f t="shared" si="24"/>
        <v>OK</v>
      </c>
      <c r="AH140" s="91" t="str">
        <f t="shared" si="24"/>
        <v>OK</v>
      </c>
      <c r="AI140" s="91" t="str">
        <f t="shared" si="24"/>
        <v>OK</v>
      </c>
      <c r="AJ140" s="91" t="str">
        <f t="shared" si="24"/>
        <v>OK</v>
      </c>
      <c r="AK140" s="91" t="str">
        <f t="shared" si="24"/>
        <v>OK</v>
      </c>
      <c r="AL140" s="91" t="str">
        <f t="shared" si="24"/>
        <v>OK</v>
      </c>
      <c r="AM140" s="92" t="str">
        <f t="shared" si="24"/>
        <v>OK</v>
      </c>
      <c r="AN140" s="22"/>
    </row>
    <row r="141" spans="1:40" ht="14.25" outlineLevel="2">
      <c r="A141" s="629"/>
      <c r="B141" s="630"/>
      <c r="C141" s="630"/>
      <c r="D141" s="631"/>
      <c r="E141" s="100"/>
      <c r="F141" s="112"/>
      <c r="G141" s="113"/>
      <c r="H141" s="113"/>
      <c r="I141" s="120"/>
      <c r="J141" s="117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 t="str">
        <f aca="true" t="shared" si="25" ref="X141:AM141">IF(X86&gt;=X87,"OK","BŁĄD")</f>
        <v>OK</v>
      </c>
      <c r="Y141" s="91" t="str">
        <f t="shared" si="25"/>
        <v>OK</v>
      </c>
      <c r="Z141" s="91" t="str">
        <f t="shared" si="25"/>
        <v>OK</v>
      </c>
      <c r="AA141" s="91" t="str">
        <f t="shared" si="25"/>
        <v>OK</v>
      </c>
      <c r="AB141" s="91" t="str">
        <f t="shared" si="25"/>
        <v>OK</v>
      </c>
      <c r="AC141" s="91" t="str">
        <f t="shared" si="25"/>
        <v>OK</v>
      </c>
      <c r="AD141" s="91" t="str">
        <f t="shared" si="25"/>
        <v>OK</v>
      </c>
      <c r="AE141" s="91" t="str">
        <f t="shared" si="25"/>
        <v>OK</v>
      </c>
      <c r="AF141" s="91" t="str">
        <f t="shared" si="25"/>
        <v>OK</v>
      </c>
      <c r="AG141" s="91" t="str">
        <f t="shared" si="25"/>
        <v>OK</v>
      </c>
      <c r="AH141" s="91" t="str">
        <f t="shared" si="25"/>
        <v>OK</v>
      </c>
      <c r="AI141" s="91" t="str">
        <f t="shared" si="25"/>
        <v>OK</v>
      </c>
      <c r="AJ141" s="91" t="str">
        <f t="shared" si="25"/>
        <v>OK</v>
      </c>
      <c r="AK141" s="91" t="str">
        <f t="shared" si="25"/>
        <v>OK</v>
      </c>
      <c r="AL141" s="91" t="str">
        <f t="shared" si="25"/>
        <v>OK</v>
      </c>
      <c r="AM141" s="92" t="str">
        <f t="shared" si="25"/>
        <v>OK</v>
      </c>
      <c r="AN141" s="22"/>
    </row>
    <row r="142" spans="1:40" ht="14.25" outlineLevel="2">
      <c r="A142" s="629"/>
      <c r="B142" s="630"/>
      <c r="C142" s="630"/>
      <c r="D142" s="631"/>
      <c r="E142" s="100"/>
      <c r="F142" s="112"/>
      <c r="G142" s="113"/>
      <c r="H142" s="113"/>
      <c r="I142" s="120"/>
      <c r="J142" s="117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 t="str">
        <f aca="true" t="shared" si="26" ref="X142:AM142">IF(X86&gt;=X88,"OK","BŁĄD")</f>
        <v>OK</v>
      </c>
      <c r="Y142" s="91" t="str">
        <f t="shared" si="26"/>
        <v>OK</v>
      </c>
      <c r="Z142" s="91" t="str">
        <f t="shared" si="26"/>
        <v>OK</v>
      </c>
      <c r="AA142" s="91" t="str">
        <f t="shared" si="26"/>
        <v>OK</v>
      </c>
      <c r="AB142" s="91" t="str">
        <f t="shared" si="26"/>
        <v>OK</v>
      </c>
      <c r="AC142" s="91" t="str">
        <f t="shared" si="26"/>
        <v>OK</v>
      </c>
      <c r="AD142" s="91" t="str">
        <f t="shared" si="26"/>
        <v>OK</v>
      </c>
      <c r="AE142" s="91" t="str">
        <f t="shared" si="26"/>
        <v>OK</v>
      </c>
      <c r="AF142" s="91" t="str">
        <f t="shared" si="26"/>
        <v>OK</v>
      </c>
      <c r="AG142" s="91" t="str">
        <f t="shared" si="26"/>
        <v>OK</v>
      </c>
      <c r="AH142" s="91" t="str">
        <f t="shared" si="26"/>
        <v>OK</v>
      </c>
      <c r="AI142" s="91" t="str">
        <f t="shared" si="26"/>
        <v>OK</v>
      </c>
      <c r="AJ142" s="91" t="str">
        <f t="shared" si="26"/>
        <v>OK</v>
      </c>
      <c r="AK142" s="91" t="str">
        <f t="shared" si="26"/>
        <v>OK</v>
      </c>
      <c r="AL142" s="91" t="str">
        <f t="shared" si="26"/>
        <v>OK</v>
      </c>
      <c r="AM142" s="92" t="str">
        <f t="shared" si="26"/>
        <v>OK</v>
      </c>
      <c r="AN142" s="22"/>
    </row>
    <row r="143" spans="1:40" ht="14.25" outlineLevel="2">
      <c r="A143" s="629"/>
      <c r="B143" s="630"/>
      <c r="C143" s="630"/>
      <c r="D143" s="631"/>
      <c r="E143" s="100"/>
      <c r="F143" s="112"/>
      <c r="G143" s="113"/>
      <c r="H143" s="113"/>
      <c r="I143" s="120"/>
      <c r="J143" s="117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 t="str">
        <f aca="true" t="shared" si="27" ref="X143:AM143">IF(X90&gt;=X92,"OK","BŁĄD")</f>
        <v>OK</v>
      </c>
      <c r="Y143" s="91" t="str">
        <f t="shared" si="27"/>
        <v>OK</v>
      </c>
      <c r="Z143" s="91" t="str">
        <f t="shared" si="27"/>
        <v>OK</v>
      </c>
      <c r="AA143" s="91" t="str">
        <f t="shared" si="27"/>
        <v>OK</v>
      </c>
      <c r="AB143" s="91" t="str">
        <f t="shared" si="27"/>
        <v>OK</v>
      </c>
      <c r="AC143" s="91" t="str">
        <f t="shared" si="27"/>
        <v>OK</v>
      </c>
      <c r="AD143" s="91" t="str">
        <f t="shared" si="27"/>
        <v>OK</v>
      </c>
      <c r="AE143" s="91" t="str">
        <f t="shared" si="27"/>
        <v>OK</v>
      </c>
      <c r="AF143" s="91" t="str">
        <f t="shared" si="27"/>
        <v>OK</v>
      </c>
      <c r="AG143" s="91" t="str">
        <f t="shared" si="27"/>
        <v>OK</v>
      </c>
      <c r="AH143" s="91" t="str">
        <f t="shared" si="27"/>
        <v>OK</v>
      </c>
      <c r="AI143" s="91" t="str">
        <f t="shared" si="27"/>
        <v>OK</v>
      </c>
      <c r="AJ143" s="91" t="str">
        <f t="shared" si="27"/>
        <v>OK</v>
      </c>
      <c r="AK143" s="91" t="str">
        <f t="shared" si="27"/>
        <v>OK</v>
      </c>
      <c r="AL143" s="91" t="str">
        <f t="shared" si="27"/>
        <v>OK</v>
      </c>
      <c r="AM143" s="92" t="str">
        <f t="shared" si="27"/>
        <v>OK</v>
      </c>
      <c r="AN143" s="22"/>
    </row>
    <row r="144" spans="1:40" ht="14.25" outlineLevel="2">
      <c r="A144" s="629"/>
      <c r="B144" s="630"/>
      <c r="C144" s="630"/>
      <c r="D144" s="631"/>
      <c r="E144" s="100"/>
      <c r="F144" s="112"/>
      <c r="G144" s="113"/>
      <c r="H144" s="113"/>
      <c r="I144" s="120"/>
      <c r="J144" s="117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 t="str">
        <f aca="true" t="shared" si="28" ref="X144:AM144">IF(X93&gt;=X25,"OK","BŁĄD")</f>
        <v>OK</v>
      </c>
      <c r="Y144" s="91" t="str">
        <f t="shared" si="28"/>
        <v>OK</v>
      </c>
      <c r="Z144" s="91" t="str">
        <f t="shared" si="28"/>
        <v>OK</v>
      </c>
      <c r="AA144" s="91" t="str">
        <f t="shared" si="28"/>
        <v>OK</v>
      </c>
      <c r="AB144" s="91" t="str">
        <f t="shared" si="28"/>
        <v>OK</v>
      </c>
      <c r="AC144" s="91" t="str">
        <f t="shared" si="28"/>
        <v>OK</v>
      </c>
      <c r="AD144" s="91" t="str">
        <f t="shared" si="28"/>
        <v>OK</v>
      </c>
      <c r="AE144" s="91" t="str">
        <f t="shared" si="28"/>
        <v>OK</v>
      </c>
      <c r="AF144" s="91" t="str">
        <f t="shared" si="28"/>
        <v>OK</v>
      </c>
      <c r="AG144" s="91" t="str">
        <f t="shared" si="28"/>
        <v>OK</v>
      </c>
      <c r="AH144" s="91" t="str">
        <f t="shared" si="28"/>
        <v>OK</v>
      </c>
      <c r="AI144" s="91" t="str">
        <f t="shared" si="28"/>
        <v>OK</v>
      </c>
      <c r="AJ144" s="91" t="str">
        <f t="shared" si="28"/>
        <v>OK</v>
      </c>
      <c r="AK144" s="91" t="str">
        <f t="shared" si="28"/>
        <v>OK</v>
      </c>
      <c r="AL144" s="91" t="str">
        <f t="shared" si="28"/>
        <v>OK</v>
      </c>
      <c r="AM144" s="92" t="str">
        <f t="shared" si="28"/>
        <v>OK</v>
      </c>
      <c r="AN144" s="22"/>
    </row>
    <row r="145" spans="1:40" ht="14.25" outlineLevel="2">
      <c r="A145" s="629"/>
      <c r="B145" s="630"/>
      <c r="C145" s="630"/>
      <c r="D145" s="631"/>
      <c r="E145" s="100"/>
      <c r="F145" s="112"/>
      <c r="G145" s="113"/>
      <c r="H145" s="113"/>
      <c r="I145" s="120"/>
      <c r="J145" s="117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 t="str">
        <f aca="true" t="shared" si="29" ref="X145:AM145">IF(X100&gt;=(X101+X102+X103),"OK","BŁĄD")</f>
        <v>OK</v>
      </c>
      <c r="Y145" s="91" t="str">
        <f t="shared" si="29"/>
        <v>OK</v>
      </c>
      <c r="Z145" s="91" t="str">
        <f t="shared" si="29"/>
        <v>OK</v>
      </c>
      <c r="AA145" s="91" t="str">
        <f t="shared" si="29"/>
        <v>OK</v>
      </c>
      <c r="AB145" s="91" t="str">
        <f t="shared" si="29"/>
        <v>OK</v>
      </c>
      <c r="AC145" s="91" t="str">
        <f t="shared" si="29"/>
        <v>OK</v>
      </c>
      <c r="AD145" s="91" t="str">
        <f t="shared" si="29"/>
        <v>OK</v>
      </c>
      <c r="AE145" s="91" t="str">
        <f t="shared" si="29"/>
        <v>OK</v>
      </c>
      <c r="AF145" s="91" t="str">
        <f t="shared" si="29"/>
        <v>OK</v>
      </c>
      <c r="AG145" s="91" t="str">
        <f t="shared" si="29"/>
        <v>OK</v>
      </c>
      <c r="AH145" s="91" t="str">
        <f t="shared" si="29"/>
        <v>OK</v>
      </c>
      <c r="AI145" s="91" t="str">
        <f t="shared" si="29"/>
        <v>OK</v>
      </c>
      <c r="AJ145" s="91" t="str">
        <f t="shared" si="29"/>
        <v>OK</v>
      </c>
      <c r="AK145" s="91" t="str">
        <f t="shared" si="29"/>
        <v>OK</v>
      </c>
      <c r="AL145" s="91" t="str">
        <f t="shared" si="29"/>
        <v>OK</v>
      </c>
      <c r="AM145" s="92" t="str">
        <f t="shared" si="29"/>
        <v>OK</v>
      </c>
      <c r="AN145" s="22"/>
    </row>
    <row r="146" spans="1:40" ht="14.25" outlineLevel="2">
      <c r="A146" s="629"/>
      <c r="B146" s="630"/>
      <c r="C146" s="630"/>
      <c r="D146" s="631"/>
      <c r="E146" s="100"/>
      <c r="F146" s="112"/>
      <c r="G146" s="113"/>
      <c r="H146" s="113"/>
      <c r="I146" s="120"/>
      <c r="J146" s="117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 t="str">
        <f aca="true" t="shared" si="30" ref="X146:AM146">IF(X23&gt;=X24,"OK","BŁĄD")</f>
        <v>OK</v>
      </c>
      <c r="Y146" s="91" t="str">
        <f t="shared" si="30"/>
        <v>OK</v>
      </c>
      <c r="Z146" s="91" t="str">
        <f t="shared" si="30"/>
        <v>OK</v>
      </c>
      <c r="AA146" s="91" t="str">
        <f t="shared" si="30"/>
        <v>OK</v>
      </c>
      <c r="AB146" s="91" t="str">
        <f t="shared" si="30"/>
        <v>OK</v>
      </c>
      <c r="AC146" s="91" t="str">
        <f t="shared" si="30"/>
        <v>OK</v>
      </c>
      <c r="AD146" s="91" t="str">
        <f t="shared" si="30"/>
        <v>OK</v>
      </c>
      <c r="AE146" s="91" t="str">
        <f t="shared" si="30"/>
        <v>OK</v>
      </c>
      <c r="AF146" s="91" t="str">
        <f t="shared" si="30"/>
        <v>OK</v>
      </c>
      <c r="AG146" s="91" t="str">
        <f t="shared" si="30"/>
        <v>OK</v>
      </c>
      <c r="AH146" s="91" t="str">
        <f t="shared" si="30"/>
        <v>OK</v>
      </c>
      <c r="AI146" s="91" t="str">
        <f t="shared" si="30"/>
        <v>OK</v>
      </c>
      <c r="AJ146" s="91" t="str">
        <f t="shared" si="30"/>
        <v>OK</v>
      </c>
      <c r="AK146" s="91" t="str">
        <f t="shared" si="30"/>
        <v>OK</v>
      </c>
      <c r="AL146" s="91" t="str">
        <f t="shared" si="30"/>
        <v>OK</v>
      </c>
      <c r="AM146" s="92" t="str">
        <f t="shared" si="30"/>
        <v>OK</v>
      </c>
      <c r="AN146" s="22"/>
    </row>
    <row r="147" spans="1:40" ht="14.25" outlineLevel="2">
      <c r="A147" s="629"/>
      <c r="B147" s="630"/>
      <c r="C147" s="630"/>
      <c r="D147" s="631"/>
      <c r="E147" s="100"/>
      <c r="F147" s="112"/>
      <c r="G147" s="113"/>
      <c r="H147" s="113"/>
      <c r="I147" s="120"/>
      <c r="J147" s="117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 t="str">
        <f aca="true" t="shared" si="31" ref="X147:AM147">IF(X23&gt;=X103,"OK","BŁĄD")</f>
        <v>OK</v>
      </c>
      <c r="Y147" s="91" t="str">
        <f t="shared" si="31"/>
        <v>OK</v>
      </c>
      <c r="Z147" s="91" t="str">
        <f t="shared" si="31"/>
        <v>OK</v>
      </c>
      <c r="AA147" s="91" t="str">
        <f t="shared" si="31"/>
        <v>OK</v>
      </c>
      <c r="AB147" s="91" t="str">
        <f t="shared" si="31"/>
        <v>OK</v>
      </c>
      <c r="AC147" s="91" t="str">
        <f t="shared" si="31"/>
        <v>OK</v>
      </c>
      <c r="AD147" s="91" t="str">
        <f t="shared" si="31"/>
        <v>OK</v>
      </c>
      <c r="AE147" s="91" t="str">
        <f t="shared" si="31"/>
        <v>OK</v>
      </c>
      <c r="AF147" s="91" t="str">
        <f t="shared" si="31"/>
        <v>OK</v>
      </c>
      <c r="AG147" s="91" t="str">
        <f t="shared" si="31"/>
        <v>OK</v>
      </c>
      <c r="AH147" s="91" t="str">
        <f t="shared" si="31"/>
        <v>OK</v>
      </c>
      <c r="AI147" s="91" t="str">
        <f t="shared" si="31"/>
        <v>OK</v>
      </c>
      <c r="AJ147" s="91" t="str">
        <f t="shared" si="31"/>
        <v>OK</v>
      </c>
      <c r="AK147" s="91" t="str">
        <f t="shared" si="31"/>
        <v>OK</v>
      </c>
      <c r="AL147" s="91" t="str">
        <f t="shared" si="31"/>
        <v>OK</v>
      </c>
      <c r="AM147" s="92" t="str">
        <f t="shared" si="31"/>
        <v>OK</v>
      </c>
      <c r="AN147" s="22"/>
    </row>
    <row r="148" spans="1:40" ht="14.25" outlineLevel="2">
      <c r="A148" s="629"/>
      <c r="B148" s="630"/>
      <c r="C148" s="630"/>
      <c r="D148" s="631"/>
      <c r="E148" s="100"/>
      <c r="F148" s="112"/>
      <c r="G148" s="113"/>
      <c r="H148" s="113"/>
      <c r="I148" s="120"/>
      <c r="J148" s="117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 t="str">
        <f aca="true" t="shared" si="32" ref="X148:AM148">IF(X26&gt;=X27,"OK","BŁĄD")</f>
        <v>OK</v>
      </c>
      <c r="Y148" s="91" t="str">
        <f t="shared" si="32"/>
        <v>OK</v>
      </c>
      <c r="Z148" s="91" t="str">
        <f t="shared" si="32"/>
        <v>OK</v>
      </c>
      <c r="AA148" s="91" t="str">
        <f t="shared" si="32"/>
        <v>OK</v>
      </c>
      <c r="AB148" s="91" t="str">
        <f t="shared" si="32"/>
        <v>OK</v>
      </c>
      <c r="AC148" s="91" t="str">
        <f t="shared" si="32"/>
        <v>OK</v>
      </c>
      <c r="AD148" s="91" t="str">
        <f t="shared" si="32"/>
        <v>OK</v>
      </c>
      <c r="AE148" s="91" t="str">
        <f t="shared" si="32"/>
        <v>OK</v>
      </c>
      <c r="AF148" s="91" t="str">
        <f t="shared" si="32"/>
        <v>OK</v>
      </c>
      <c r="AG148" s="91" t="str">
        <f t="shared" si="32"/>
        <v>OK</v>
      </c>
      <c r="AH148" s="91" t="str">
        <f t="shared" si="32"/>
        <v>OK</v>
      </c>
      <c r="AI148" s="91" t="str">
        <f t="shared" si="32"/>
        <v>OK</v>
      </c>
      <c r="AJ148" s="91" t="str">
        <f t="shared" si="32"/>
        <v>OK</v>
      </c>
      <c r="AK148" s="91" t="str">
        <f t="shared" si="32"/>
        <v>OK</v>
      </c>
      <c r="AL148" s="91" t="str">
        <f t="shared" si="32"/>
        <v>OK</v>
      </c>
      <c r="AM148" s="92" t="str">
        <f t="shared" si="32"/>
        <v>OK</v>
      </c>
      <c r="AN148" s="22"/>
    </row>
    <row r="149" spans="1:40" ht="14.25" outlineLevel="2">
      <c r="A149" s="629"/>
      <c r="B149" s="630"/>
      <c r="C149" s="630"/>
      <c r="D149" s="631"/>
      <c r="E149" s="100"/>
      <c r="F149" s="112"/>
      <c r="G149" s="113"/>
      <c r="H149" s="113"/>
      <c r="I149" s="120"/>
      <c r="J149" s="117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 t="str">
        <f aca="true" t="shared" si="33" ref="X149:AM149">IF(X22&gt;=(X23+X25+X26),"OK","BŁĄD")</f>
        <v>OK</v>
      </c>
      <c r="Y149" s="91" t="str">
        <f t="shared" si="33"/>
        <v>OK</v>
      </c>
      <c r="Z149" s="91" t="str">
        <f t="shared" si="33"/>
        <v>OK</v>
      </c>
      <c r="AA149" s="91" t="str">
        <f t="shared" si="33"/>
        <v>OK</v>
      </c>
      <c r="AB149" s="91" t="str">
        <f t="shared" si="33"/>
        <v>OK</v>
      </c>
      <c r="AC149" s="91" t="str">
        <f t="shared" si="33"/>
        <v>OK</v>
      </c>
      <c r="AD149" s="91" t="str">
        <f t="shared" si="33"/>
        <v>OK</v>
      </c>
      <c r="AE149" s="91" t="str">
        <f t="shared" si="33"/>
        <v>OK</v>
      </c>
      <c r="AF149" s="91" t="str">
        <f t="shared" si="33"/>
        <v>OK</v>
      </c>
      <c r="AG149" s="91" t="str">
        <f t="shared" si="33"/>
        <v>OK</v>
      </c>
      <c r="AH149" s="91" t="str">
        <f t="shared" si="33"/>
        <v>OK</v>
      </c>
      <c r="AI149" s="91" t="str">
        <f t="shared" si="33"/>
        <v>OK</v>
      </c>
      <c r="AJ149" s="91" t="str">
        <f t="shared" si="33"/>
        <v>OK</v>
      </c>
      <c r="AK149" s="91" t="str">
        <f t="shared" si="33"/>
        <v>OK</v>
      </c>
      <c r="AL149" s="91" t="str">
        <f t="shared" si="33"/>
        <v>OK</v>
      </c>
      <c r="AM149" s="92" t="str">
        <f t="shared" si="33"/>
        <v>OK</v>
      </c>
      <c r="AN149" s="22"/>
    </row>
    <row r="150" spans="1:40" ht="14.25" outlineLevel="2">
      <c r="A150" s="629"/>
      <c r="B150" s="630"/>
      <c r="C150" s="630"/>
      <c r="D150" s="631"/>
      <c r="E150" s="100"/>
      <c r="F150" s="112"/>
      <c r="G150" s="113"/>
      <c r="H150" s="113"/>
      <c r="I150" s="120"/>
      <c r="J150" s="117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 t="str">
        <f aca="true" t="shared" si="34" ref="X150:AM150">IF(X22&gt;=X68,"OK","BŁĄD")</f>
        <v>OK</v>
      </c>
      <c r="Y150" s="91" t="str">
        <f t="shared" si="34"/>
        <v>OK</v>
      </c>
      <c r="Z150" s="91" t="str">
        <f t="shared" si="34"/>
        <v>OK</v>
      </c>
      <c r="AA150" s="91" t="str">
        <f t="shared" si="34"/>
        <v>OK</v>
      </c>
      <c r="AB150" s="91" t="str">
        <f t="shared" si="34"/>
        <v>OK</v>
      </c>
      <c r="AC150" s="91" t="str">
        <f t="shared" si="34"/>
        <v>OK</v>
      </c>
      <c r="AD150" s="91" t="str">
        <f t="shared" si="34"/>
        <v>OK</v>
      </c>
      <c r="AE150" s="91" t="str">
        <f t="shared" si="34"/>
        <v>OK</v>
      </c>
      <c r="AF150" s="91" t="str">
        <f t="shared" si="34"/>
        <v>OK</v>
      </c>
      <c r="AG150" s="91" t="str">
        <f t="shared" si="34"/>
        <v>OK</v>
      </c>
      <c r="AH150" s="91" t="str">
        <f t="shared" si="34"/>
        <v>OK</v>
      </c>
      <c r="AI150" s="91" t="str">
        <f t="shared" si="34"/>
        <v>OK</v>
      </c>
      <c r="AJ150" s="91" t="str">
        <f t="shared" si="34"/>
        <v>OK</v>
      </c>
      <c r="AK150" s="91" t="str">
        <f t="shared" si="34"/>
        <v>OK</v>
      </c>
      <c r="AL150" s="91" t="str">
        <f t="shared" si="34"/>
        <v>OK</v>
      </c>
      <c r="AM150" s="92" t="str">
        <f t="shared" si="34"/>
        <v>OK</v>
      </c>
      <c r="AN150" s="22"/>
    </row>
    <row r="151" spans="1:40" ht="14.25" outlineLevel="2">
      <c r="A151" s="629"/>
      <c r="B151" s="630"/>
      <c r="C151" s="630"/>
      <c r="D151" s="631"/>
      <c r="E151" s="100"/>
      <c r="F151" s="112"/>
      <c r="G151" s="113"/>
      <c r="H151" s="113"/>
      <c r="I151" s="120"/>
      <c r="J151" s="117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 t="str">
        <f aca="true" t="shared" si="35" ref="X151:AM151">IF(X22&gt;=X71,"OK","BŁĄD")</f>
        <v>OK</v>
      </c>
      <c r="Y151" s="91" t="str">
        <f t="shared" si="35"/>
        <v>OK</v>
      </c>
      <c r="Z151" s="91" t="str">
        <f t="shared" si="35"/>
        <v>OK</v>
      </c>
      <c r="AA151" s="91" t="str">
        <f t="shared" si="35"/>
        <v>OK</v>
      </c>
      <c r="AB151" s="91" t="str">
        <f t="shared" si="35"/>
        <v>OK</v>
      </c>
      <c r="AC151" s="91" t="str">
        <f t="shared" si="35"/>
        <v>OK</v>
      </c>
      <c r="AD151" s="91" t="str">
        <f t="shared" si="35"/>
        <v>OK</v>
      </c>
      <c r="AE151" s="91" t="str">
        <f t="shared" si="35"/>
        <v>OK</v>
      </c>
      <c r="AF151" s="91" t="str">
        <f t="shared" si="35"/>
        <v>OK</v>
      </c>
      <c r="AG151" s="91" t="str">
        <f t="shared" si="35"/>
        <v>OK</v>
      </c>
      <c r="AH151" s="91" t="str">
        <f t="shared" si="35"/>
        <v>OK</v>
      </c>
      <c r="AI151" s="91" t="str">
        <f t="shared" si="35"/>
        <v>OK</v>
      </c>
      <c r="AJ151" s="91" t="str">
        <f t="shared" si="35"/>
        <v>OK</v>
      </c>
      <c r="AK151" s="91" t="str">
        <f t="shared" si="35"/>
        <v>OK</v>
      </c>
      <c r="AL151" s="91" t="str">
        <f t="shared" si="35"/>
        <v>OK</v>
      </c>
      <c r="AM151" s="92" t="str">
        <f t="shared" si="35"/>
        <v>OK</v>
      </c>
      <c r="AN151" s="22"/>
    </row>
    <row r="152" spans="1:40" ht="14.25" outlineLevel="2">
      <c r="A152" s="629"/>
      <c r="B152" s="630"/>
      <c r="C152" s="630"/>
      <c r="D152" s="631"/>
      <c r="E152" s="100"/>
      <c r="F152" s="112"/>
      <c r="G152" s="113"/>
      <c r="H152" s="113"/>
      <c r="I152" s="120"/>
      <c r="J152" s="117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 t="str">
        <f aca="true" t="shared" si="36" ref="X152:AM152">IF(X22&gt;=X83,"OK","BŁĄD")</f>
        <v>OK</v>
      </c>
      <c r="Y152" s="91" t="str">
        <f t="shared" si="36"/>
        <v>OK</v>
      </c>
      <c r="Z152" s="91" t="str">
        <f t="shared" si="36"/>
        <v>OK</v>
      </c>
      <c r="AA152" s="91" t="str">
        <f t="shared" si="36"/>
        <v>OK</v>
      </c>
      <c r="AB152" s="91" t="str">
        <f t="shared" si="36"/>
        <v>OK</v>
      </c>
      <c r="AC152" s="91" t="str">
        <f t="shared" si="36"/>
        <v>OK</v>
      </c>
      <c r="AD152" s="91" t="str">
        <f t="shared" si="36"/>
        <v>OK</v>
      </c>
      <c r="AE152" s="91" t="str">
        <f t="shared" si="36"/>
        <v>OK</v>
      </c>
      <c r="AF152" s="91" t="str">
        <f t="shared" si="36"/>
        <v>OK</v>
      </c>
      <c r="AG152" s="91" t="str">
        <f t="shared" si="36"/>
        <v>OK</v>
      </c>
      <c r="AH152" s="91" t="str">
        <f t="shared" si="36"/>
        <v>OK</v>
      </c>
      <c r="AI152" s="91" t="str">
        <f t="shared" si="36"/>
        <v>OK</v>
      </c>
      <c r="AJ152" s="91" t="str">
        <f t="shared" si="36"/>
        <v>OK</v>
      </c>
      <c r="AK152" s="91" t="str">
        <f t="shared" si="36"/>
        <v>OK</v>
      </c>
      <c r="AL152" s="91" t="str">
        <f t="shared" si="36"/>
        <v>OK</v>
      </c>
      <c r="AM152" s="92" t="str">
        <f t="shared" si="36"/>
        <v>OK</v>
      </c>
      <c r="AN152" s="22"/>
    </row>
    <row r="153" spans="1:40" ht="14.25" outlineLevel="2">
      <c r="A153" s="629"/>
      <c r="B153" s="630"/>
      <c r="C153" s="630"/>
      <c r="D153" s="631"/>
      <c r="E153" s="100"/>
      <c r="F153" s="112"/>
      <c r="G153" s="113"/>
      <c r="H153" s="113"/>
      <c r="I153" s="120"/>
      <c r="J153" s="117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 t="str">
        <f aca="true" t="shared" si="37" ref="X153:AM153">IF(X22&gt;=X96,"OK","BŁĄD")</f>
        <v>OK</v>
      </c>
      <c r="Y153" s="91" t="str">
        <f t="shared" si="37"/>
        <v>OK</v>
      </c>
      <c r="Z153" s="91" t="str">
        <f t="shared" si="37"/>
        <v>OK</v>
      </c>
      <c r="AA153" s="91" t="str">
        <f t="shared" si="37"/>
        <v>OK</v>
      </c>
      <c r="AB153" s="91" t="str">
        <f t="shared" si="37"/>
        <v>OK</v>
      </c>
      <c r="AC153" s="91" t="str">
        <f t="shared" si="37"/>
        <v>OK</v>
      </c>
      <c r="AD153" s="91" t="str">
        <f t="shared" si="37"/>
        <v>OK</v>
      </c>
      <c r="AE153" s="91" t="str">
        <f t="shared" si="37"/>
        <v>OK</v>
      </c>
      <c r="AF153" s="91" t="str">
        <f t="shared" si="37"/>
        <v>OK</v>
      </c>
      <c r="AG153" s="91" t="str">
        <f t="shared" si="37"/>
        <v>OK</v>
      </c>
      <c r="AH153" s="91" t="str">
        <f t="shared" si="37"/>
        <v>OK</v>
      </c>
      <c r="AI153" s="91" t="str">
        <f t="shared" si="37"/>
        <v>OK</v>
      </c>
      <c r="AJ153" s="91" t="str">
        <f t="shared" si="37"/>
        <v>OK</v>
      </c>
      <c r="AK153" s="91" t="str">
        <f t="shared" si="37"/>
        <v>OK</v>
      </c>
      <c r="AL153" s="91" t="str">
        <f t="shared" si="37"/>
        <v>OK</v>
      </c>
      <c r="AM153" s="92" t="str">
        <f t="shared" si="37"/>
        <v>OK</v>
      </c>
      <c r="AN153" s="22"/>
    </row>
    <row r="154" spans="1:40" ht="14.25" outlineLevel="2">
      <c r="A154" s="629"/>
      <c r="B154" s="630"/>
      <c r="C154" s="630"/>
      <c r="D154" s="631"/>
      <c r="E154" s="100"/>
      <c r="F154" s="112"/>
      <c r="G154" s="113"/>
      <c r="H154" s="113"/>
      <c r="I154" s="120"/>
      <c r="J154" s="117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 t="str">
        <f aca="true" t="shared" si="38" ref="X154:AM154">IF(X28&gt;=X72,"OK","BŁĄD")</f>
        <v>OK</v>
      </c>
      <c r="Y154" s="91" t="str">
        <f t="shared" si="38"/>
        <v>OK</v>
      </c>
      <c r="Z154" s="91" t="str">
        <f t="shared" si="38"/>
        <v>OK</v>
      </c>
      <c r="AA154" s="91" t="str">
        <f t="shared" si="38"/>
        <v>OK</v>
      </c>
      <c r="AB154" s="91" t="str">
        <f t="shared" si="38"/>
        <v>OK</v>
      </c>
      <c r="AC154" s="91" t="str">
        <f t="shared" si="38"/>
        <v>OK</v>
      </c>
      <c r="AD154" s="91" t="str">
        <f t="shared" si="38"/>
        <v>OK</v>
      </c>
      <c r="AE154" s="91" t="str">
        <f t="shared" si="38"/>
        <v>OK</v>
      </c>
      <c r="AF154" s="91" t="str">
        <f t="shared" si="38"/>
        <v>OK</v>
      </c>
      <c r="AG154" s="91" t="str">
        <f t="shared" si="38"/>
        <v>OK</v>
      </c>
      <c r="AH154" s="91" t="str">
        <f t="shared" si="38"/>
        <v>OK</v>
      </c>
      <c r="AI154" s="91" t="str">
        <f t="shared" si="38"/>
        <v>OK</v>
      </c>
      <c r="AJ154" s="91" t="str">
        <f t="shared" si="38"/>
        <v>OK</v>
      </c>
      <c r="AK154" s="91" t="str">
        <f t="shared" si="38"/>
        <v>OK</v>
      </c>
      <c r="AL154" s="91" t="str">
        <f t="shared" si="38"/>
        <v>OK</v>
      </c>
      <c r="AM154" s="92" t="str">
        <f t="shared" si="38"/>
        <v>OK</v>
      </c>
      <c r="AN154" s="22"/>
    </row>
    <row r="155" spans="1:40" ht="14.25" outlineLevel="2">
      <c r="A155" s="629"/>
      <c r="B155" s="630"/>
      <c r="C155" s="630"/>
      <c r="D155" s="631"/>
      <c r="E155" s="100"/>
      <c r="F155" s="112"/>
      <c r="G155" s="113"/>
      <c r="H155" s="113"/>
      <c r="I155" s="120"/>
      <c r="J155" s="117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 t="str">
        <f aca="true" t="shared" si="39" ref="X155:AM155">IF(X28&gt;=X73+X74,"OK","BŁĄD")</f>
        <v>OK</v>
      </c>
      <c r="Y155" s="91" t="str">
        <f t="shared" si="39"/>
        <v>OK</v>
      </c>
      <c r="Z155" s="91" t="str">
        <f t="shared" si="39"/>
        <v>OK</v>
      </c>
      <c r="AA155" s="91" t="str">
        <f t="shared" si="39"/>
        <v>OK</v>
      </c>
      <c r="AB155" s="91" t="str">
        <f t="shared" si="39"/>
        <v>OK</v>
      </c>
      <c r="AC155" s="91" t="str">
        <f t="shared" si="39"/>
        <v>OK</v>
      </c>
      <c r="AD155" s="91" t="str">
        <f t="shared" si="39"/>
        <v>OK</v>
      </c>
      <c r="AE155" s="91" t="str">
        <f t="shared" si="39"/>
        <v>OK</v>
      </c>
      <c r="AF155" s="91" t="str">
        <f t="shared" si="39"/>
        <v>OK</v>
      </c>
      <c r="AG155" s="91" t="str">
        <f t="shared" si="39"/>
        <v>OK</v>
      </c>
      <c r="AH155" s="91" t="str">
        <f t="shared" si="39"/>
        <v>OK</v>
      </c>
      <c r="AI155" s="91" t="str">
        <f t="shared" si="39"/>
        <v>OK</v>
      </c>
      <c r="AJ155" s="91" t="str">
        <f t="shared" si="39"/>
        <v>OK</v>
      </c>
      <c r="AK155" s="91" t="str">
        <f t="shared" si="39"/>
        <v>OK</v>
      </c>
      <c r="AL155" s="91" t="str">
        <f t="shared" si="39"/>
        <v>OK</v>
      </c>
      <c r="AM155" s="92" t="str">
        <f t="shared" si="39"/>
        <v>OK</v>
      </c>
      <c r="AN155" s="22"/>
    </row>
    <row r="156" spans="1:40" ht="14.25" outlineLevel="2">
      <c r="A156" s="629"/>
      <c r="B156" s="630"/>
      <c r="C156" s="630"/>
      <c r="D156" s="631"/>
      <c r="E156" s="100"/>
      <c r="F156" s="112"/>
      <c r="G156" s="113"/>
      <c r="H156" s="113"/>
      <c r="I156" s="120"/>
      <c r="J156" s="117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 t="str">
        <f aca="true" t="shared" si="40" ref="X156:AM156">IF(X28&gt;=X75,"OK","BŁĄD")</f>
        <v>OK</v>
      </c>
      <c r="Y156" s="91" t="str">
        <f t="shared" si="40"/>
        <v>OK</v>
      </c>
      <c r="Z156" s="91" t="str">
        <f t="shared" si="40"/>
        <v>OK</v>
      </c>
      <c r="AA156" s="91" t="str">
        <f t="shared" si="40"/>
        <v>OK</v>
      </c>
      <c r="AB156" s="91" t="str">
        <f t="shared" si="40"/>
        <v>OK</v>
      </c>
      <c r="AC156" s="91" t="str">
        <f t="shared" si="40"/>
        <v>OK</v>
      </c>
      <c r="AD156" s="91" t="str">
        <f t="shared" si="40"/>
        <v>OK</v>
      </c>
      <c r="AE156" s="91" t="str">
        <f t="shared" si="40"/>
        <v>OK</v>
      </c>
      <c r="AF156" s="91" t="str">
        <f t="shared" si="40"/>
        <v>OK</v>
      </c>
      <c r="AG156" s="91" t="str">
        <f t="shared" si="40"/>
        <v>OK</v>
      </c>
      <c r="AH156" s="91" t="str">
        <f t="shared" si="40"/>
        <v>OK</v>
      </c>
      <c r="AI156" s="91" t="str">
        <f t="shared" si="40"/>
        <v>OK</v>
      </c>
      <c r="AJ156" s="91" t="str">
        <f t="shared" si="40"/>
        <v>OK</v>
      </c>
      <c r="AK156" s="91" t="str">
        <f t="shared" si="40"/>
        <v>OK</v>
      </c>
      <c r="AL156" s="91" t="str">
        <f t="shared" si="40"/>
        <v>OK</v>
      </c>
      <c r="AM156" s="92" t="str">
        <f t="shared" si="40"/>
        <v>OK</v>
      </c>
      <c r="AN156" s="22"/>
    </row>
    <row r="157" spans="1:40" ht="14.25" outlineLevel="2">
      <c r="A157" s="629"/>
      <c r="B157" s="630"/>
      <c r="C157" s="630"/>
      <c r="D157" s="631"/>
      <c r="E157" s="100"/>
      <c r="F157" s="112"/>
      <c r="G157" s="113"/>
      <c r="H157" s="113"/>
      <c r="I157" s="120"/>
      <c r="J157" s="117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 t="str">
        <f aca="true" t="shared" si="41" ref="X157:AM157">IF(X28&gt;=X86,"OK","BŁĄD")</f>
        <v>OK</v>
      </c>
      <c r="Y157" s="91" t="str">
        <f t="shared" si="41"/>
        <v>OK</v>
      </c>
      <c r="Z157" s="91" t="str">
        <f t="shared" si="41"/>
        <v>OK</v>
      </c>
      <c r="AA157" s="91" t="str">
        <f t="shared" si="41"/>
        <v>OK</v>
      </c>
      <c r="AB157" s="91" t="str">
        <f t="shared" si="41"/>
        <v>OK</v>
      </c>
      <c r="AC157" s="91" t="str">
        <f t="shared" si="41"/>
        <v>OK</v>
      </c>
      <c r="AD157" s="91" t="str">
        <f t="shared" si="41"/>
        <v>OK</v>
      </c>
      <c r="AE157" s="91" t="str">
        <f t="shared" si="41"/>
        <v>OK</v>
      </c>
      <c r="AF157" s="91" t="str">
        <f t="shared" si="41"/>
        <v>OK</v>
      </c>
      <c r="AG157" s="91" t="str">
        <f t="shared" si="41"/>
        <v>OK</v>
      </c>
      <c r="AH157" s="91" t="str">
        <f t="shared" si="41"/>
        <v>OK</v>
      </c>
      <c r="AI157" s="91" t="str">
        <f t="shared" si="41"/>
        <v>OK</v>
      </c>
      <c r="AJ157" s="91" t="str">
        <f t="shared" si="41"/>
        <v>OK</v>
      </c>
      <c r="AK157" s="91" t="str">
        <f t="shared" si="41"/>
        <v>OK</v>
      </c>
      <c r="AL157" s="91" t="str">
        <f t="shared" si="41"/>
        <v>OK</v>
      </c>
      <c r="AM157" s="92" t="str">
        <f t="shared" si="41"/>
        <v>OK</v>
      </c>
      <c r="AN157" s="22"/>
    </row>
    <row r="158" spans="1:40" ht="14.25" outlineLevel="2">
      <c r="A158" s="629"/>
      <c r="B158" s="630"/>
      <c r="C158" s="630"/>
      <c r="D158" s="631"/>
      <c r="E158" s="100"/>
      <c r="F158" s="112"/>
      <c r="G158" s="113"/>
      <c r="H158" s="113"/>
      <c r="I158" s="120"/>
      <c r="J158" s="117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 t="str">
        <f aca="true" t="shared" si="42" ref="X158:AM158">IF(X31&gt;=X32,"OK","BŁĄD")</f>
        <v>OK</v>
      </c>
      <c r="Y158" s="91" t="str">
        <f t="shared" si="42"/>
        <v>OK</v>
      </c>
      <c r="Z158" s="91" t="str">
        <f t="shared" si="42"/>
        <v>OK</v>
      </c>
      <c r="AA158" s="91" t="str">
        <f t="shared" si="42"/>
        <v>OK</v>
      </c>
      <c r="AB158" s="91" t="str">
        <f t="shared" si="42"/>
        <v>OK</v>
      </c>
      <c r="AC158" s="91" t="str">
        <f t="shared" si="42"/>
        <v>OK</v>
      </c>
      <c r="AD158" s="91" t="str">
        <f t="shared" si="42"/>
        <v>OK</v>
      </c>
      <c r="AE158" s="91" t="str">
        <f t="shared" si="42"/>
        <v>OK</v>
      </c>
      <c r="AF158" s="91" t="str">
        <f t="shared" si="42"/>
        <v>OK</v>
      </c>
      <c r="AG158" s="91" t="str">
        <f t="shared" si="42"/>
        <v>OK</v>
      </c>
      <c r="AH158" s="91" t="str">
        <f t="shared" si="42"/>
        <v>OK</v>
      </c>
      <c r="AI158" s="91" t="str">
        <f t="shared" si="42"/>
        <v>OK</v>
      </c>
      <c r="AJ158" s="91" t="str">
        <f t="shared" si="42"/>
        <v>OK</v>
      </c>
      <c r="AK158" s="91" t="str">
        <f t="shared" si="42"/>
        <v>OK</v>
      </c>
      <c r="AL158" s="91" t="str">
        <f t="shared" si="42"/>
        <v>OK</v>
      </c>
      <c r="AM158" s="92" t="str">
        <f t="shared" si="42"/>
        <v>OK</v>
      </c>
      <c r="AN158" s="22"/>
    </row>
    <row r="159" spans="1:40" ht="14.25" outlineLevel="2">
      <c r="A159" s="629"/>
      <c r="B159" s="630"/>
      <c r="C159" s="630"/>
      <c r="D159" s="631"/>
      <c r="E159" s="100"/>
      <c r="F159" s="112"/>
      <c r="G159" s="113"/>
      <c r="H159" s="113"/>
      <c r="I159" s="120"/>
      <c r="J159" s="117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 t="str">
        <f aca="true" t="shared" si="43" ref="X159:AM159">IF(X33&gt;=X34,"OK","BŁĄD")</f>
        <v>OK</v>
      </c>
      <c r="Y159" s="91" t="str">
        <f t="shared" si="43"/>
        <v>OK</v>
      </c>
      <c r="Z159" s="91" t="str">
        <f t="shared" si="43"/>
        <v>OK</v>
      </c>
      <c r="AA159" s="91" t="str">
        <f t="shared" si="43"/>
        <v>OK</v>
      </c>
      <c r="AB159" s="91" t="str">
        <f t="shared" si="43"/>
        <v>OK</v>
      </c>
      <c r="AC159" s="91" t="str">
        <f t="shared" si="43"/>
        <v>OK</v>
      </c>
      <c r="AD159" s="91" t="str">
        <f t="shared" si="43"/>
        <v>OK</v>
      </c>
      <c r="AE159" s="91" t="str">
        <f t="shared" si="43"/>
        <v>OK</v>
      </c>
      <c r="AF159" s="91" t="str">
        <f t="shared" si="43"/>
        <v>OK</v>
      </c>
      <c r="AG159" s="91" t="str">
        <f t="shared" si="43"/>
        <v>OK</v>
      </c>
      <c r="AH159" s="91" t="str">
        <f t="shared" si="43"/>
        <v>OK</v>
      </c>
      <c r="AI159" s="91" t="str">
        <f t="shared" si="43"/>
        <v>OK</v>
      </c>
      <c r="AJ159" s="91" t="str">
        <f t="shared" si="43"/>
        <v>OK</v>
      </c>
      <c r="AK159" s="91" t="str">
        <f t="shared" si="43"/>
        <v>OK</v>
      </c>
      <c r="AL159" s="91" t="str">
        <f t="shared" si="43"/>
        <v>OK</v>
      </c>
      <c r="AM159" s="92" t="str">
        <f t="shared" si="43"/>
        <v>OK</v>
      </c>
      <c r="AN159" s="22"/>
    </row>
    <row r="160" spans="1:40" ht="14.25" outlineLevel="2">
      <c r="A160" s="629"/>
      <c r="B160" s="630"/>
      <c r="C160" s="630"/>
      <c r="D160" s="631"/>
      <c r="E160" s="100"/>
      <c r="F160" s="112"/>
      <c r="G160" s="113"/>
      <c r="H160" s="113"/>
      <c r="I160" s="120"/>
      <c r="J160" s="117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 t="str">
        <f aca="true" t="shared" si="44" ref="X160:AM160">IF(X35&gt;=X36,"OK","BŁĄD")</f>
        <v>OK</v>
      </c>
      <c r="Y160" s="91" t="str">
        <f t="shared" si="44"/>
        <v>OK</v>
      </c>
      <c r="Z160" s="91" t="str">
        <f t="shared" si="44"/>
        <v>OK</v>
      </c>
      <c r="AA160" s="91" t="str">
        <f t="shared" si="44"/>
        <v>OK</v>
      </c>
      <c r="AB160" s="91" t="str">
        <f t="shared" si="44"/>
        <v>OK</v>
      </c>
      <c r="AC160" s="91" t="str">
        <f t="shared" si="44"/>
        <v>OK</v>
      </c>
      <c r="AD160" s="91" t="str">
        <f t="shared" si="44"/>
        <v>OK</v>
      </c>
      <c r="AE160" s="91" t="str">
        <f t="shared" si="44"/>
        <v>OK</v>
      </c>
      <c r="AF160" s="91" t="str">
        <f t="shared" si="44"/>
        <v>OK</v>
      </c>
      <c r="AG160" s="91" t="str">
        <f t="shared" si="44"/>
        <v>OK</v>
      </c>
      <c r="AH160" s="91" t="str">
        <f t="shared" si="44"/>
        <v>OK</v>
      </c>
      <c r="AI160" s="91" t="str">
        <f t="shared" si="44"/>
        <v>OK</v>
      </c>
      <c r="AJ160" s="91" t="str">
        <f t="shared" si="44"/>
        <v>OK</v>
      </c>
      <c r="AK160" s="91" t="str">
        <f t="shared" si="44"/>
        <v>OK</v>
      </c>
      <c r="AL160" s="91" t="str">
        <f t="shared" si="44"/>
        <v>OK</v>
      </c>
      <c r="AM160" s="92" t="str">
        <f t="shared" si="44"/>
        <v>OK</v>
      </c>
      <c r="AN160" s="22"/>
    </row>
    <row r="161" spans="1:40" ht="14.25" outlineLevel="2">
      <c r="A161" s="629"/>
      <c r="B161" s="630"/>
      <c r="C161" s="630"/>
      <c r="D161" s="631"/>
      <c r="E161" s="100"/>
      <c r="F161" s="112"/>
      <c r="G161" s="113"/>
      <c r="H161" s="113"/>
      <c r="I161" s="120"/>
      <c r="J161" s="117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 t="str">
        <f aca="true" t="shared" si="45" ref="X161:AM161">IF(X37&gt;=X38,"OK","BŁĄD")</f>
        <v>OK</v>
      </c>
      <c r="Y161" s="91" t="str">
        <f t="shared" si="45"/>
        <v>OK</v>
      </c>
      <c r="Z161" s="91" t="str">
        <f t="shared" si="45"/>
        <v>OK</v>
      </c>
      <c r="AA161" s="91" t="str">
        <f t="shared" si="45"/>
        <v>OK</v>
      </c>
      <c r="AB161" s="91" t="str">
        <f t="shared" si="45"/>
        <v>OK</v>
      </c>
      <c r="AC161" s="91" t="str">
        <f t="shared" si="45"/>
        <v>OK</v>
      </c>
      <c r="AD161" s="91" t="str">
        <f t="shared" si="45"/>
        <v>OK</v>
      </c>
      <c r="AE161" s="91" t="str">
        <f t="shared" si="45"/>
        <v>OK</v>
      </c>
      <c r="AF161" s="91" t="str">
        <f t="shared" si="45"/>
        <v>OK</v>
      </c>
      <c r="AG161" s="91" t="str">
        <f t="shared" si="45"/>
        <v>OK</v>
      </c>
      <c r="AH161" s="91" t="str">
        <f t="shared" si="45"/>
        <v>OK</v>
      </c>
      <c r="AI161" s="91" t="str">
        <f t="shared" si="45"/>
        <v>OK</v>
      </c>
      <c r="AJ161" s="91" t="str">
        <f t="shared" si="45"/>
        <v>OK</v>
      </c>
      <c r="AK161" s="91" t="str">
        <f t="shared" si="45"/>
        <v>OK</v>
      </c>
      <c r="AL161" s="91" t="str">
        <f t="shared" si="45"/>
        <v>OK</v>
      </c>
      <c r="AM161" s="92" t="str">
        <f t="shared" si="45"/>
        <v>OK</v>
      </c>
      <c r="AN161" s="22"/>
    </row>
    <row r="162" spans="1:40" ht="14.25" outlineLevel="2">
      <c r="A162" s="629"/>
      <c r="B162" s="630"/>
      <c r="C162" s="630"/>
      <c r="D162" s="631"/>
      <c r="E162" s="100"/>
      <c r="F162" s="112"/>
      <c r="G162" s="113"/>
      <c r="H162" s="113"/>
      <c r="I162" s="120"/>
      <c r="J162" s="117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 t="str">
        <f aca="true" t="shared" si="46" ref="X162:AM162">IF(X40&gt;=X41,"OK","BŁĄD")</f>
        <v>OK</v>
      </c>
      <c r="Y162" s="91" t="str">
        <f t="shared" si="46"/>
        <v>OK</v>
      </c>
      <c r="Z162" s="91" t="str">
        <f t="shared" si="46"/>
        <v>OK</v>
      </c>
      <c r="AA162" s="91" t="str">
        <f t="shared" si="46"/>
        <v>OK</v>
      </c>
      <c r="AB162" s="91" t="str">
        <f t="shared" si="46"/>
        <v>OK</v>
      </c>
      <c r="AC162" s="91" t="str">
        <f t="shared" si="46"/>
        <v>OK</v>
      </c>
      <c r="AD162" s="91" t="str">
        <f t="shared" si="46"/>
        <v>OK</v>
      </c>
      <c r="AE162" s="91" t="str">
        <f t="shared" si="46"/>
        <v>OK</v>
      </c>
      <c r="AF162" s="91" t="str">
        <f t="shared" si="46"/>
        <v>OK</v>
      </c>
      <c r="AG162" s="91" t="str">
        <f t="shared" si="46"/>
        <v>OK</v>
      </c>
      <c r="AH162" s="91" t="str">
        <f t="shared" si="46"/>
        <v>OK</v>
      </c>
      <c r="AI162" s="91" t="str">
        <f t="shared" si="46"/>
        <v>OK</v>
      </c>
      <c r="AJ162" s="91" t="str">
        <f t="shared" si="46"/>
        <v>OK</v>
      </c>
      <c r="AK162" s="91" t="str">
        <f t="shared" si="46"/>
        <v>OK</v>
      </c>
      <c r="AL162" s="91" t="str">
        <f t="shared" si="46"/>
        <v>OK</v>
      </c>
      <c r="AM162" s="92" t="str">
        <f t="shared" si="46"/>
        <v>OK</v>
      </c>
      <c r="AN162" s="22"/>
    </row>
    <row r="163" spans="1:40" ht="14.25" outlineLevel="2">
      <c r="A163" s="629"/>
      <c r="B163" s="630"/>
      <c r="C163" s="630"/>
      <c r="D163" s="631"/>
      <c r="E163" s="100"/>
      <c r="F163" s="112"/>
      <c r="G163" s="113"/>
      <c r="H163" s="113"/>
      <c r="I163" s="120"/>
      <c r="J163" s="117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 t="str">
        <f aca="true" t="shared" si="47" ref="X163:AM163">IF(X41&gt;=X42,"OK","BŁĄD")</f>
        <v>OK</v>
      </c>
      <c r="Y163" s="91" t="str">
        <f t="shared" si="47"/>
        <v>OK</v>
      </c>
      <c r="Z163" s="91" t="str">
        <f t="shared" si="47"/>
        <v>OK</v>
      </c>
      <c r="AA163" s="91" t="str">
        <f t="shared" si="47"/>
        <v>OK</v>
      </c>
      <c r="AB163" s="91" t="str">
        <f t="shared" si="47"/>
        <v>OK</v>
      </c>
      <c r="AC163" s="91" t="str">
        <f t="shared" si="47"/>
        <v>OK</v>
      </c>
      <c r="AD163" s="91" t="str">
        <f t="shared" si="47"/>
        <v>OK</v>
      </c>
      <c r="AE163" s="91" t="str">
        <f t="shared" si="47"/>
        <v>OK</v>
      </c>
      <c r="AF163" s="91" t="str">
        <f t="shared" si="47"/>
        <v>OK</v>
      </c>
      <c r="AG163" s="91" t="str">
        <f t="shared" si="47"/>
        <v>OK</v>
      </c>
      <c r="AH163" s="91" t="str">
        <f t="shared" si="47"/>
        <v>OK</v>
      </c>
      <c r="AI163" s="91" t="str">
        <f t="shared" si="47"/>
        <v>OK</v>
      </c>
      <c r="AJ163" s="91" t="str">
        <f t="shared" si="47"/>
        <v>OK</v>
      </c>
      <c r="AK163" s="91" t="str">
        <f t="shared" si="47"/>
        <v>OK</v>
      </c>
      <c r="AL163" s="91" t="str">
        <f t="shared" si="47"/>
        <v>OK</v>
      </c>
      <c r="AM163" s="92" t="str">
        <f t="shared" si="47"/>
        <v>OK</v>
      </c>
      <c r="AN163" s="22"/>
    </row>
    <row r="164" spans="1:40" ht="14.25" outlineLevel="2">
      <c r="A164" s="629"/>
      <c r="B164" s="630"/>
      <c r="C164" s="630"/>
      <c r="D164" s="631"/>
      <c r="E164" s="100"/>
      <c r="F164" s="112"/>
      <c r="G164" s="113"/>
      <c r="H164" s="113"/>
      <c r="I164" s="120"/>
      <c r="J164" s="117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 t="str">
        <f aca="true" t="shared" si="48" ref="X164:AM164">IF(X40&gt;=X66,"OK","BŁĄD")</f>
        <v>OK</v>
      </c>
      <c r="Y164" s="91" t="str">
        <f t="shared" si="48"/>
        <v>OK</v>
      </c>
      <c r="Z164" s="91" t="str">
        <f t="shared" si="48"/>
        <v>OK</v>
      </c>
      <c r="AA164" s="91" t="str">
        <f t="shared" si="48"/>
        <v>OK</v>
      </c>
      <c r="AB164" s="91" t="str">
        <f t="shared" si="48"/>
        <v>OK</v>
      </c>
      <c r="AC164" s="91" t="str">
        <f t="shared" si="48"/>
        <v>OK</v>
      </c>
      <c r="AD164" s="91" t="str">
        <f t="shared" si="48"/>
        <v>OK</v>
      </c>
      <c r="AE164" s="91" t="str">
        <f t="shared" si="48"/>
        <v>OK</v>
      </c>
      <c r="AF164" s="91" t="str">
        <f t="shared" si="48"/>
        <v>OK</v>
      </c>
      <c r="AG164" s="91" t="str">
        <f t="shared" si="48"/>
        <v>OK</v>
      </c>
      <c r="AH164" s="91" t="str">
        <f t="shared" si="48"/>
        <v>OK</v>
      </c>
      <c r="AI164" s="91" t="str">
        <f t="shared" si="48"/>
        <v>OK</v>
      </c>
      <c r="AJ164" s="91" t="str">
        <f t="shared" si="48"/>
        <v>OK</v>
      </c>
      <c r="AK164" s="91" t="str">
        <f t="shared" si="48"/>
        <v>OK</v>
      </c>
      <c r="AL164" s="91" t="str">
        <f t="shared" si="48"/>
        <v>OK</v>
      </c>
      <c r="AM164" s="92" t="str">
        <f t="shared" si="48"/>
        <v>OK</v>
      </c>
      <c r="AN164" s="22"/>
    </row>
    <row r="165" spans="1:40" ht="14.25" outlineLevel="2">
      <c r="A165" s="629"/>
      <c r="B165" s="630"/>
      <c r="C165" s="630"/>
      <c r="D165" s="631"/>
      <c r="E165" s="100"/>
      <c r="F165" s="112"/>
      <c r="G165" s="113"/>
      <c r="H165" s="113"/>
      <c r="I165" s="120"/>
      <c r="J165" s="117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 t="str">
        <f aca="true" t="shared" si="49" ref="X165:AM165">IF(X40&gt;=X98,"OK","BŁĄD")</f>
        <v>OK</v>
      </c>
      <c r="Y165" s="91" t="str">
        <f t="shared" si="49"/>
        <v>OK</v>
      </c>
      <c r="Z165" s="91" t="str">
        <f t="shared" si="49"/>
        <v>OK</v>
      </c>
      <c r="AA165" s="91" t="str">
        <f t="shared" si="49"/>
        <v>OK</v>
      </c>
      <c r="AB165" s="91" t="str">
        <f t="shared" si="49"/>
        <v>OK</v>
      </c>
      <c r="AC165" s="91" t="str">
        <f t="shared" si="49"/>
        <v>OK</v>
      </c>
      <c r="AD165" s="91" t="str">
        <f t="shared" si="49"/>
        <v>OK</v>
      </c>
      <c r="AE165" s="91" t="str">
        <f t="shared" si="49"/>
        <v>OK</v>
      </c>
      <c r="AF165" s="91" t="str">
        <f t="shared" si="49"/>
        <v>OK</v>
      </c>
      <c r="AG165" s="91" t="str">
        <f t="shared" si="49"/>
        <v>OK</v>
      </c>
      <c r="AH165" s="91" t="str">
        <f t="shared" si="49"/>
        <v>OK</v>
      </c>
      <c r="AI165" s="91" t="str">
        <f t="shared" si="49"/>
        <v>OK</v>
      </c>
      <c r="AJ165" s="91" t="str">
        <f t="shared" si="49"/>
        <v>OK</v>
      </c>
      <c r="AK165" s="91" t="str">
        <f t="shared" si="49"/>
        <v>OK</v>
      </c>
      <c r="AL165" s="91" t="str">
        <f t="shared" si="49"/>
        <v>OK</v>
      </c>
      <c r="AM165" s="92" t="str">
        <f t="shared" si="49"/>
        <v>OK</v>
      </c>
      <c r="AN165" s="22"/>
    </row>
    <row r="166" spans="1:40" ht="14.25" outlineLevel="2">
      <c r="A166" s="629"/>
      <c r="B166" s="630"/>
      <c r="C166" s="630"/>
      <c r="D166" s="631"/>
      <c r="E166" s="100"/>
      <c r="F166" s="112"/>
      <c r="G166" s="113"/>
      <c r="H166" s="113"/>
      <c r="I166" s="120"/>
      <c r="J166" s="117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 t="str">
        <f aca="true" t="shared" si="50" ref="X166:AM166">IF(X44&gt;=X45,"OK","BŁĄD")</f>
        <v>OK</v>
      </c>
      <c r="Y166" s="91" t="str">
        <f t="shared" si="50"/>
        <v>OK</v>
      </c>
      <c r="Z166" s="91" t="str">
        <f t="shared" si="50"/>
        <v>OK</v>
      </c>
      <c r="AA166" s="91" t="str">
        <f t="shared" si="50"/>
        <v>OK</v>
      </c>
      <c r="AB166" s="91" t="str">
        <f t="shared" si="50"/>
        <v>OK</v>
      </c>
      <c r="AC166" s="91" t="str">
        <f t="shared" si="50"/>
        <v>OK</v>
      </c>
      <c r="AD166" s="91" t="str">
        <f t="shared" si="50"/>
        <v>OK</v>
      </c>
      <c r="AE166" s="91" t="str">
        <f t="shared" si="50"/>
        <v>OK</v>
      </c>
      <c r="AF166" s="91" t="str">
        <f t="shared" si="50"/>
        <v>OK</v>
      </c>
      <c r="AG166" s="91" t="str">
        <f t="shared" si="50"/>
        <v>OK</v>
      </c>
      <c r="AH166" s="91" t="str">
        <f t="shared" si="50"/>
        <v>OK</v>
      </c>
      <c r="AI166" s="91" t="str">
        <f t="shared" si="50"/>
        <v>OK</v>
      </c>
      <c r="AJ166" s="91" t="str">
        <f t="shared" si="50"/>
        <v>OK</v>
      </c>
      <c r="AK166" s="91" t="str">
        <f t="shared" si="50"/>
        <v>OK</v>
      </c>
      <c r="AL166" s="91" t="str">
        <f t="shared" si="50"/>
        <v>OK</v>
      </c>
      <c r="AM166" s="92" t="str">
        <f t="shared" si="50"/>
        <v>OK</v>
      </c>
      <c r="AN166" s="22"/>
    </row>
    <row r="167" spans="1:40" ht="14.25" outlineLevel="2">
      <c r="A167" s="629"/>
      <c r="B167" s="630"/>
      <c r="C167" s="630"/>
      <c r="D167" s="631"/>
      <c r="E167" s="100"/>
      <c r="F167" s="112"/>
      <c r="G167" s="113"/>
      <c r="H167" s="113"/>
      <c r="I167" s="120"/>
      <c r="J167" s="117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 t="str">
        <f aca="true" t="shared" si="51" ref="X167:AM167">IF(X44&gt;=X49,"OK","BŁĄD")</f>
        <v>OK</v>
      </c>
      <c r="Y167" s="91" t="str">
        <f t="shared" si="51"/>
        <v>OK</v>
      </c>
      <c r="Z167" s="91" t="str">
        <f t="shared" si="51"/>
        <v>OK</v>
      </c>
      <c r="AA167" s="91" t="str">
        <f t="shared" si="51"/>
        <v>OK</v>
      </c>
      <c r="AB167" s="91" t="str">
        <f t="shared" si="51"/>
        <v>OK</v>
      </c>
      <c r="AC167" s="91" t="str">
        <f t="shared" si="51"/>
        <v>OK</v>
      </c>
      <c r="AD167" s="91" t="str">
        <f t="shared" si="51"/>
        <v>OK</v>
      </c>
      <c r="AE167" s="91" t="str">
        <f t="shared" si="51"/>
        <v>OK</v>
      </c>
      <c r="AF167" s="91" t="str">
        <f t="shared" si="51"/>
        <v>OK</v>
      </c>
      <c r="AG167" s="91" t="str">
        <f t="shared" si="51"/>
        <v>OK</v>
      </c>
      <c r="AH167" s="91" t="str">
        <f t="shared" si="51"/>
        <v>OK</v>
      </c>
      <c r="AI167" s="91" t="str">
        <f t="shared" si="51"/>
        <v>OK</v>
      </c>
      <c r="AJ167" s="91" t="str">
        <f t="shared" si="51"/>
        <v>OK</v>
      </c>
      <c r="AK167" s="91" t="str">
        <f t="shared" si="51"/>
        <v>OK</v>
      </c>
      <c r="AL167" s="91" t="str">
        <f t="shared" si="51"/>
        <v>OK</v>
      </c>
      <c r="AM167" s="92" t="str">
        <f t="shared" si="51"/>
        <v>OK</v>
      </c>
      <c r="AN167" s="22"/>
    </row>
    <row r="168" spans="1:40" ht="14.25" outlineLevel="2">
      <c r="A168" s="629"/>
      <c r="B168" s="630"/>
      <c r="C168" s="630"/>
      <c r="D168" s="631"/>
      <c r="E168" s="100"/>
      <c r="F168" s="112"/>
      <c r="G168" s="113"/>
      <c r="H168" s="113"/>
      <c r="I168" s="120"/>
      <c r="J168" s="117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 t="str">
        <f aca="true" t="shared" si="52" ref="X168:AM168">IF(X44&gt;=X99,"OK","BŁĄD")</f>
        <v>OK</v>
      </c>
      <c r="Y168" s="91" t="str">
        <f t="shared" si="52"/>
        <v>OK</v>
      </c>
      <c r="Z168" s="91" t="str">
        <f t="shared" si="52"/>
        <v>OK</v>
      </c>
      <c r="AA168" s="91" t="str">
        <f t="shared" si="52"/>
        <v>OK</v>
      </c>
      <c r="AB168" s="91" t="str">
        <f t="shared" si="52"/>
        <v>OK</v>
      </c>
      <c r="AC168" s="91" t="str">
        <f t="shared" si="52"/>
        <v>OK</v>
      </c>
      <c r="AD168" s="91" t="str">
        <f t="shared" si="52"/>
        <v>OK</v>
      </c>
      <c r="AE168" s="91" t="str">
        <f t="shared" si="52"/>
        <v>OK</v>
      </c>
      <c r="AF168" s="91" t="str">
        <f t="shared" si="52"/>
        <v>OK</v>
      </c>
      <c r="AG168" s="91" t="str">
        <f t="shared" si="52"/>
        <v>OK</v>
      </c>
      <c r="AH168" s="91" t="str">
        <f t="shared" si="52"/>
        <v>OK</v>
      </c>
      <c r="AI168" s="91" t="str">
        <f t="shared" si="52"/>
        <v>OK</v>
      </c>
      <c r="AJ168" s="91" t="str">
        <f t="shared" si="52"/>
        <v>OK</v>
      </c>
      <c r="AK168" s="91" t="str">
        <f t="shared" si="52"/>
        <v>OK</v>
      </c>
      <c r="AL168" s="91" t="str">
        <f t="shared" si="52"/>
        <v>OK</v>
      </c>
      <c r="AM168" s="92" t="str">
        <f t="shared" si="52"/>
        <v>OK</v>
      </c>
      <c r="AN168" s="22"/>
    </row>
    <row r="169" spans="1:40" ht="14.25" outlineLevel="2">
      <c r="A169" s="629"/>
      <c r="B169" s="630"/>
      <c r="C169" s="630"/>
      <c r="D169" s="631"/>
      <c r="E169" s="100"/>
      <c r="F169" s="112"/>
      <c r="G169" s="113"/>
      <c r="H169" s="113"/>
      <c r="I169" s="120"/>
      <c r="J169" s="117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 t="str">
        <f aca="true" t="shared" si="53" ref="X169:AM169">+IF(X45&gt;=X46,"OK","BŁĄD")</f>
        <v>OK</v>
      </c>
      <c r="Y169" s="91" t="str">
        <f t="shared" si="53"/>
        <v>OK</v>
      </c>
      <c r="Z169" s="91" t="str">
        <f t="shared" si="53"/>
        <v>OK</v>
      </c>
      <c r="AA169" s="91" t="str">
        <f t="shared" si="53"/>
        <v>OK</v>
      </c>
      <c r="AB169" s="91" t="str">
        <f t="shared" si="53"/>
        <v>OK</v>
      </c>
      <c r="AC169" s="91" t="str">
        <f t="shared" si="53"/>
        <v>OK</v>
      </c>
      <c r="AD169" s="91" t="str">
        <f t="shared" si="53"/>
        <v>OK</v>
      </c>
      <c r="AE169" s="91" t="str">
        <f t="shared" si="53"/>
        <v>OK</v>
      </c>
      <c r="AF169" s="91" t="str">
        <f t="shared" si="53"/>
        <v>OK</v>
      </c>
      <c r="AG169" s="91" t="str">
        <f t="shared" si="53"/>
        <v>OK</v>
      </c>
      <c r="AH169" s="91" t="str">
        <f t="shared" si="53"/>
        <v>OK</v>
      </c>
      <c r="AI169" s="91" t="str">
        <f t="shared" si="53"/>
        <v>OK</v>
      </c>
      <c r="AJ169" s="91" t="str">
        <f t="shared" si="53"/>
        <v>OK</v>
      </c>
      <c r="AK169" s="91" t="str">
        <f t="shared" si="53"/>
        <v>OK</v>
      </c>
      <c r="AL169" s="91" t="str">
        <f t="shared" si="53"/>
        <v>OK</v>
      </c>
      <c r="AM169" s="92" t="str">
        <f t="shared" si="53"/>
        <v>OK</v>
      </c>
      <c r="AN169" s="22"/>
    </row>
    <row r="170" spans="1:40" ht="14.25" outlineLevel="2">
      <c r="A170" s="629"/>
      <c r="B170" s="630"/>
      <c r="C170" s="630"/>
      <c r="D170" s="631"/>
      <c r="E170" s="100"/>
      <c r="F170" s="112"/>
      <c r="G170" s="113"/>
      <c r="H170" s="113"/>
      <c r="I170" s="120"/>
      <c r="J170" s="117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 t="str">
        <f aca="true" t="shared" si="54" ref="X170:AM170">IF(X49&gt;=X90,"OK","BŁĄD")</f>
        <v>OK</v>
      </c>
      <c r="Y170" s="91" t="str">
        <f t="shared" si="54"/>
        <v>OK</v>
      </c>
      <c r="Z170" s="91" t="str">
        <f t="shared" si="54"/>
        <v>OK</v>
      </c>
      <c r="AA170" s="91" t="str">
        <f t="shared" si="54"/>
        <v>OK</v>
      </c>
      <c r="AB170" s="91" t="str">
        <f t="shared" si="54"/>
        <v>OK</v>
      </c>
      <c r="AC170" s="91" t="str">
        <f t="shared" si="54"/>
        <v>OK</v>
      </c>
      <c r="AD170" s="91" t="str">
        <f t="shared" si="54"/>
        <v>OK</v>
      </c>
      <c r="AE170" s="91" t="str">
        <f t="shared" si="54"/>
        <v>OK</v>
      </c>
      <c r="AF170" s="91" t="str">
        <f t="shared" si="54"/>
        <v>OK</v>
      </c>
      <c r="AG170" s="91" t="str">
        <f t="shared" si="54"/>
        <v>OK</v>
      </c>
      <c r="AH170" s="91" t="str">
        <f t="shared" si="54"/>
        <v>OK</v>
      </c>
      <c r="AI170" s="91" t="str">
        <f t="shared" si="54"/>
        <v>OK</v>
      </c>
      <c r="AJ170" s="91" t="str">
        <f t="shared" si="54"/>
        <v>OK</v>
      </c>
      <c r="AK170" s="91" t="str">
        <f t="shared" si="54"/>
        <v>OK</v>
      </c>
      <c r="AL170" s="91" t="str">
        <f t="shared" si="54"/>
        <v>OK</v>
      </c>
      <c r="AM170" s="92" t="str">
        <f t="shared" si="54"/>
        <v>OK</v>
      </c>
      <c r="AN170" s="22"/>
    </row>
    <row r="171" spans="1:40" ht="14.25" outlineLevel="2">
      <c r="A171" s="635"/>
      <c r="B171" s="636"/>
      <c r="C171" s="636"/>
      <c r="D171" s="637"/>
      <c r="E171" s="101"/>
      <c r="F171" s="114"/>
      <c r="G171" s="115"/>
      <c r="H171" s="115"/>
      <c r="I171" s="121"/>
      <c r="J171" s="118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 t="str">
        <f aca="true" t="shared" si="55" ref="X171:AM171">IF(X26&lt;&gt;0,IF(X27&lt;&gt;0,"OK","BŁĄD"),"N/D")</f>
        <v>N/D</v>
      </c>
      <c r="Y171" s="95" t="str">
        <f t="shared" si="55"/>
        <v>N/D</v>
      </c>
      <c r="Z171" s="95" t="str">
        <f t="shared" si="55"/>
        <v>N/D</v>
      </c>
      <c r="AA171" s="95" t="str">
        <f t="shared" si="55"/>
        <v>N/D</v>
      </c>
      <c r="AB171" s="95" t="str">
        <f t="shared" si="55"/>
        <v>N/D</v>
      </c>
      <c r="AC171" s="95" t="str">
        <f t="shared" si="55"/>
        <v>N/D</v>
      </c>
      <c r="AD171" s="95" t="str">
        <f t="shared" si="55"/>
        <v>N/D</v>
      </c>
      <c r="AE171" s="95" t="str">
        <f t="shared" si="55"/>
        <v>N/D</v>
      </c>
      <c r="AF171" s="95" t="str">
        <f t="shared" si="55"/>
        <v>N/D</v>
      </c>
      <c r="AG171" s="95" t="str">
        <f t="shared" si="55"/>
        <v>N/D</v>
      </c>
      <c r="AH171" s="95" t="str">
        <f t="shared" si="55"/>
        <v>N/D</v>
      </c>
      <c r="AI171" s="95" t="str">
        <f t="shared" si="55"/>
        <v>N/D</v>
      </c>
      <c r="AJ171" s="95" t="str">
        <f t="shared" si="55"/>
        <v>N/D</v>
      </c>
      <c r="AK171" s="95" t="str">
        <f t="shared" si="55"/>
        <v>N/D</v>
      </c>
      <c r="AL171" s="95" t="str">
        <f t="shared" si="55"/>
        <v>N/D</v>
      </c>
      <c r="AM171" s="96" t="str">
        <f t="shared" si="55"/>
        <v>N/D</v>
      </c>
      <c r="AN171" s="22"/>
    </row>
    <row r="172" spans="1:40" ht="14.25" outlineLevel="2">
      <c r="A172" s="89"/>
      <c r="B172" s="89"/>
      <c r="C172" s="89"/>
      <c r="D172" s="89"/>
      <c r="E172" s="89"/>
      <c r="F172" s="24"/>
      <c r="G172" s="24"/>
      <c r="H172" s="24"/>
      <c r="I172" s="24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2"/>
    </row>
    <row r="173" spans="1:40" ht="14.25" outlineLevel="1">
      <c r="A173" s="89"/>
      <c r="B173" s="89"/>
      <c r="C173" s="89"/>
      <c r="D173" s="89"/>
      <c r="E173" s="424"/>
      <c r="F173" s="24"/>
      <c r="G173" s="24"/>
      <c r="H173" s="24"/>
      <c r="I173" s="24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2"/>
    </row>
    <row r="174" spans="1:40" ht="15" outlineLevel="2">
      <c r="A174" s="250"/>
      <c r="B174" s="250"/>
      <c r="C174" s="250"/>
      <c r="D174" s="250"/>
      <c r="E174" s="251"/>
      <c r="F174" s="300"/>
      <c r="G174" s="301"/>
      <c r="H174" s="301"/>
      <c r="I174" s="302"/>
      <c r="J174" s="252"/>
      <c r="K174" s="253"/>
      <c r="L174" s="253"/>
      <c r="M174" s="253"/>
      <c r="N174" s="253"/>
      <c r="O174" s="253"/>
      <c r="P174" s="253"/>
      <c r="Q174" s="253"/>
      <c r="R174" s="253"/>
      <c r="S174" s="253"/>
      <c r="T174" s="253"/>
      <c r="U174" s="253"/>
      <c r="V174" s="253"/>
      <c r="W174" s="253"/>
      <c r="X174" s="253">
        <f aca="true" t="shared" si="56" ref="X174:AM174">X11+X18</f>
        <v>0</v>
      </c>
      <c r="Y174" s="253">
        <f t="shared" si="56"/>
        <v>0</v>
      </c>
      <c r="Z174" s="253">
        <f t="shared" si="56"/>
        <v>0</v>
      </c>
      <c r="AA174" s="253">
        <f t="shared" si="56"/>
        <v>0</v>
      </c>
      <c r="AB174" s="253">
        <f t="shared" si="56"/>
        <v>0</v>
      </c>
      <c r="AC174" s="253">
        <f t="shared" si="56"/>
        <v>0</v>
      </c>
      <c r="AD174" s="253">
        <f t="shared" si="56"/>
        <v>0</v>
      </c>
      <c r="AE174" s="253">
        <f t="shared" si="56"/>
        <v>0</v>
      </c>
      <c r="AF174" s="253">
        <f t="shared" si="56"/>
        <v>0</v>
      </c>
      <c r="AG174" s="253">
        <f t="shared" si="56"/>
        <v>0</v>
      </c>
      <c r="AH174" s="253">
        <f t="shared" si="56"/>
        <v>0</v>
      </c>
      <c r="AI174" s="253">
        <f t="shared" si="56"/>
        <v>0</v>
      </c>
      <c r="AJ174" s="253">
        <f t="shared" si="56"/>
        <v>0</v>
      </c>
      <c r="AK174" s="253">
        <f t="shared" si="56"/>
        <v>0</v>
      </c>
      <c r="AL174" s="253">
        <f t="shared" si="56"/>
        <v>0</v>
      </c>
      <c r="AM174" s="254">
        <f t="shared" si="56"/>
        <v>0</v>
      </c>
      <c r="AN174" s="250"/>
    </row>
    <row r="175" spans="1:40" ht="15" outlineLevel="2">
      <c r="A175" s="250"/>
      <c r="B175" s="250"/>
      <c r="C175" s="250"/>
      <c r="D175" s="250"/>
      <c r="E175" s="255"/>
      <c r="F175" s="303"/>
      <c r="G175" s="304"/>
      <c r="H175" s="304"/>
      <c r="I175" s="305"/>
      <c r="J175" s="256"/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  <c r="U175" s="257"/>
      <c r="V175" s="257"/>
      <c r="W175" s="257"/>
      <c r="X175" s="257">
        <f aca="true" t="shared" si="57" ref="X175:AM175">X22+X28</f>
        <v>0</v>
      </c>
      <c r="Y175" s="257">
        <f t="shared" si="57"/>
        <v>0</v>
      </c>
      <c r="Z175" s="257">
        <f t="shared" si="57"/>
        <v>0</v>
      </c>
      <c r="AA175" s="257">
        <f t="shared" si="57"/>
        <v>0</v>
      </c>
      <c r="AB175" s="257">
        <f t="shared" si="57"/>
        <v>0</v>
      </c>
      <c r="AC175" s="257">
        <f t="shared" si="57"/>
        <v>0</v>
      </c>
      <c r="AD175" s="257">
        <f t="shared" si="57"/>
        <v>0</v>
      </c>
      <c r="AE175" s="257">
        <f t="shared" si="57"/>
        <v>0</v>
      </c>
      <c r="AF175" s="257">
        <f t="shared" si="57"/>
        <v>0</v>
      </c>
      <c r="AG175" s="257">
        <f t="shared" si="57"/>
        <v>0</v>
      </c>
      <c r="AH175" s="257">
        <f t="shared" si="57"/>
        <v>0</v>
      </c>
      <c r="AI175" s="257">
        <f t="shared" si="57"/>
        <v>0</v>
      </c>
      <c r="AJ175" s="257">
        <f t="shared" si="57"/>
        <v>0</v>
      </c>
      <c r="AK175" s="257">
        <f t="shared" si="57"/>
        <v>0</v>
      </c>
      <c r="AL175" s="257">
        <f t="shared" si="57"/>
        <v>0</v>
      </c>
      <c r="AM175" s="258">
        <f t="shared" si="57"/>
        <v>0</v>
      </c>
      <c r="AN175" s="250"/>
    </row>
    <row r="176" spans="1:40" ht="15" outlineLevel="2">
      <c r="A176" s="250"/>
      <c r="B176" s="250"/>
      <c r="C176" s="250"/>
      <c r="D176" s="250"/>
      <c r="E176" s="255"/>
      <c r="F176" s="303"/>
      <c r="G176" s="304"/>
      <c r="H176" s="304"/>
      <c r="I176" s="305"/>
      <c r="J176" s="256"/>
      <c r="K176" s="257"/>
      <c r="L176" s="257"/>
      <c r="M176" s="257"/>
      <c r="N176" s="257"/>
      <c r="O176" s="257"/>
      <c r="P176" s="257"/>
      <c r="Q176" s="257"/>
      <c r="R176" s="257"/>
      <c r="S176" s="257"/>
      <c r="T176" s="257"/>
      <c r="U176" s="257"/>
      <c r="V176" s="257"/>
      <c r="W176" s="257"/>
      <c r="X176" s="257">
        <f aca="true" t="shared" si="58" ref="X176:AM176">X10-X21</f>
        <v>0</v>
      </c>
      <c r="Y176" s="257">
        <f t="shared" si="58"/>
        <v>0</v>
      </c>
      <c r="Z176" s="257">
        <f t="shared" si="58"/>
        <v>0</v>
      </c>
      <c r="AA176" s="257">
        <f t="shared" si="58"/>
        <v>0</v>
      </c>
      <c r="AB176" s="257">
        <f t="shared" si="58"/>
        <v>0</v>
      </c>
      <c r="AC176" s="257">
        <f t="shared" si="58"/>
        <v>0</v>
      </c>
      <c r="AD176" s="257">
        <f t="shared" si="58"/>
        <v>0</v>
      </c>
      <c r="AE176" s="257">
        <f t="shared" si="58"/>
        <v>0</v>
      </c>
      <c r="AF176" s="257">
        <f t="shared" si="58"/>
        <v>0</v>
      </c>
      <c r="AG176" s="257">
        <f t="shared" si="58"/>
        <v>0</v>
      </c>
      <c r="AH176" s="257">
        <f t="shared" si="58"/>
        <v>0</v>
      </c>
      <c r="AI176" s="257">
        <f t="shared" si="58"/>
        <v>0</v>
      </c>
      <c r="AJ176" s="257">
        <f t="shared" si="58"/>
        <v>0</v>
      </c>
      <c r="AK176" s="257">
        <f t="shared" si="58"/>
        <v>0</v>
      </c>
      <c r="AL176" s="257">
        <f t="shared" si="58"/>
        <v>0</v>
      </c>
      <c r="AM176" s="258">
        <f t="shared" si="58"/>
        <v>0</v>
      </c>
      <c r="AN176" s="250"/>
    </row>
    <row r="177" spans="1:40" ht="15" outlineLevel="2">
      <c r="A177" s="250"/>
      <c r="B177" s="250"/>
      <c r="C177" s="250"/>
      <c r="D177" s="250"/>
      <c r="E177" s="259"/>
      <c r="F177" s="303"/>
      <c r="G177" s="304"/>
      <c r="H177" s="304"/>
      <c r="I177" s="305"/>
      <c r="J177" s="256"/>
      <c r="K177" s="257"/>
      <c r="L177" s="257"/>
      <c r="M177" s="257"/>
      <c r="N177" s="257"/>
      <c r="O177" s="257"/>
      <c r="P177" s="257"/>
      <c r="Q177" s="257"/>
      <c r="R177" s="257"/>
      <c r="S177" s="257"/>
      <c r="T177" s="257"/>
      <c r="U177" s="257"/>
      <c r="V177" s="257"/>
      <c r="W177" s="257"/>
      <c r="X177" s="257">
        <f aca="true" t="shared" si="59" ref="X177:AM177">W44+X35-X40+(X49-W49)+(X99-W99)+X104</f>
        <v>0</v>
      </c>
      <c r="Y177" s="257">
        <f t="shared" si="59"/>
        <v>0</v>
      </c>
      <c r="Z177" s="257">
        <f t="shared" si="59"/>
        <v>0</v>
      </c>
      <c r="AA177" s="257">
        <f t="shared" si="59"/>
        <v>0</v>
      </c>
      <c r="AB177" s="257">
        <f t="shared" si="59"/>
        <v>0</v>
      </c>
      <c r="AC177" s="257">
        <f t="shared" si="59"/>
        <v>0</v>
      </c>
      <c r="AD177" s="257">
        <f t="shared" si="59"/>
        <v>0</v>
      </c>
      <c r="AE177" s="257">
        <f t="shared" si="59"/>
        <v>0</v>
      </c>
      <c r="AF177" s="257">
        <f t="shared" si="59"/>
        <v>0</v>
      </c>
      <c r="AG177" s="257">
        <f t="shared" si="59"/>
        <v>0</v>
      </c>
      <c r="AH177" s="257">
        <f t="shared" si="59"/>
        <v>0</v>
      </c>
      <c r="AI177" s="257">
        <f t="shared" si="59"/>
        <v>0</v>
      </c>
      <c r="AJ177" s="257">
        <f t="shared" si="59"/>
        <v>0</v>
      </c>
      <c r="AK177" s="257">
        <f t="shared" si="59"/>
        <v>0</v>
      </c>
      <c r="AL177" s="257">
        <f t="shared" si="59"/>
        <v>0</v>
      </c>
      <c r="AM177" s="258">
        <f t="shared" si="59"/>
        <v>0</v>
      </c>
      <c r="AN177" s="250"/>
    </row>
    <row r="178" spans="1:40" ht="15" outlineLevel="2">
      <c r="A178" s="250"/>
      <c r="B178" s="250"/>
      <c r="C178" s="250"/>
      <c r="D178" s="250"/>
      <c r="E178" s="260"/>
      <c r="F178" s="617"/>
      <c r="G178" s="306"/>
      <c r="H178" s="306"/>
      <c r="I178" s="307"/>
      <c r="J178" s="261"/>
      <c r="K178" s="262"/>
      <c r="L178" s="262"/>
      <c r="M178" s="262"/>
      <c r="N178" s="262"/>
      <c r="O178" s="262"/>
      <c r="P178" s="262"/>
      <c r="Q178" s="262"/>
      <c r="R178" s="262"/>
      <c r="S178" s="262"/>
      <c r="T178" s="262"/>
      <c r="U178" s="262"/>
      <c r="V178" s="262"/>
      <c r="W178" s="262"/>
      <c r="X178" s="262">
        <f aca="true" t="shared" si="60" ref="X178:AM178">W90-(X92+X93+X94+X95)</f>
        <v>0</v>
      </c>
      <c r="Y178" s="262">
        <f t="shared" si="60"/>
        <v>0</v>
      </c>
      <c r="Z178" s="262">
        <f t="shared" si="60"/>
        <v>0</v>
      </c>
      <c r="AA178" s="262">
        <f t="shared" si="60"/>
        <v>0</v>
      </c>
      <c r="AB178" s="262">
        <f t="shared" si="60"/>
        <v>0</v>
      </c>
      <c r="AC178" s="262">
        <f t="shared" si="60"/>
        <v>0</v>
      </c>
      <c r="AD178" s="262">
        <f t="shared" si="60"/>
        <v>0</v>
      </c>
      <c r="AE178" s="262">
        <f t="shared" si="60"/>
        <v>0</v>
      </c>
      <c r="AF178" s="262">
        <f t="shared" si="60"/>
        <v>0</v>
      </c>
      <c r="AG178" s="262">
        <f t="shared" si="60"/>
        <v>0</v>
      </c>
      <c r="AH178" s="262">
        <f t="shared" si="60"/>
        <v>0</v>
      </c>
      <c r="AI178" s="262">
        <f t="shared" si="60"/>
        <v>0</v>
      </c>
      <c r="AJ178" s="262">
        <f t="shared" si="60"/>
        <v>0</v>
      </c>
      <c r="AK178" s="262">
        <f t="shared" si="60"/>
        <v>0</v>
      </c>
      <c r="AL178" s="262">
        <f t="shared" si="60"/>
        <v>0</v>
      </c>
      <c r="AM178" s="263">
        <f t="shared" si="60"/>
        <v>0</v>
      </c>
      <c r="AN178" s="250"/>
    </row>
    <row r="179" spans="6:9" ht="14.25">
      <c r="F179" s="6"/>
      <c r="G179" s="6"/>
      <c r="H179" s="6"/>
      <c r="I179" s="6"/>
    </row>
    <row r="180" spans="5:9" ht="15.75">
      <c r="E180" s="421"/>
      <c r="F180" s="83"/>
      <c r="G180" s="83"/>
      <c r="H180" s="83"/>
      <c r="I180" s="83"/>
    </row>
    <row r="181" spans="5:9" ht="14.25" outlineLevel="1">
      <c r="E181" s="422"/>
      <c r="F181" s="84"/>
      <c r="G181" s="84"/>
      <c r="H181" s="84"/>
      <c r="I181" s="84"/>
    </row>
    <row r="182" spans="5:39" ht="14.25" outlineLevel="2">
      <c r="E182" s="30"/>
      <c r="F182" s="33"/>
      <c r="G182" s="85"/>
      <c r="H182" s="85"/>
      <c r="I182" s="85"/>
      <c r="J182" s="2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5:39" ht="14.25" outlineLevel="2">
      <c r="E183" s="31"/>
      <c r="F183" s="33"/>
      <c r="G183" s="85"/>
      <c r="H183" s="85"/>
      <c r="I183" s="85"/>
      <c r="J183" s="2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5:39" ht="14.25" outlineLevel="2">
      <c r="E184" s="32"/>
      <c r="F184" s="33"/>
      <c r="G184" s="85"/>
      <c r="H184" s="85"/>
      <c r="I184" s="85"/>
      <c r="J184" s="2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5:39" ht="14.25" outlineLevel="2">
      <c r="E185" s="398"/>
      <c r="F185" s="399"/>
      <c r="G185" s="400"/>
      <c r="H185" s="400"/>
      <c r="I185" s="401"/>
      <c r="J185" s="402"/>
      <c r="K185" s="403"/>
      <c r="L185" s="403"/>
      <c r="M185" s="403"/>
      <c r="N185" s="403"/>
      <c r="O185" s="403"/>
      <c r="P185" s="403"/>
      <c r="Q185" s="403"/>
      <c r="R185" s="403"/>
      <c r="S185" s="403"/>
      <c r="T185" s="403"/>
      <c r="U185" s="403"/>
      <c r="V185" s="403"/>
      <c r="W185" s="403"/>
      <c r="X185" s="403">
        <f aca="true" t="shared" si="61" ref="X185:AM185">+IF(X10=0,"",X61-X56)</f>
      </c>
      <c r="Y185" s="403">
        <f t="shared" si="61"/>
      </c>
      <c r="Z185" s="403">
        <f t="shared" si="61"/>
      </c>
      <c r="AA185" s="403">
        <f t="shared" si="61"/>
      </c>
      <c r="AB185" s="403">
        <f t="shared" si="61"/>
      </c>
      <c r="AC185" s="403">
        <f t="shared" si="61"/>
      </c>
      <c r="AD185" s="403">
        <f t="shared" si="61"/>
      </c>
      <c r="AE185" s="403">
        <f t="shared" si="61"/>
      </c>
      <c r="AF185" s="403">
        <f t="shared" si="61"/>
      </c>
      <c r="AG185" s="403">
        <f t="shared" si="61"/>
      </c>
      <c r="AH185" s="403">
        <f t="shared" si="61"/>
      </c>
      <c r="AI185" s="403">
        <f t="shared" si="61"/>
      </c>
      <c r="AJ185" s="403">
        <f t="shared" si="61"/>
      </c>
      <c r="AK185" s="403">
        <f t="shared" si="61"/>
      </c>
      <c r="AL185" s="403">
        <f t="shared" si="61"/>
      </c>
      <c r="AM185" s="404">
        <f t="shared" si="61"/>
      </c>
    </row>
    <row r="186" spans="5:39" ht="14.25" outlineLevel="2">
      <c r="E186" s="405"/>
      <c r="F186" s="406"/>
      <c r="G186" s="407"/>
      <c r="H186" s="407"/>
      <c r="I186" s="408"/>
      <c r="J186" s="409"/>
      <c r="K186" s="410"/>
      <c r="L186" s="410"/>
      <c r="M186" s="410"/>
      <c r="N186" s="410"/>
      <c r="O186" s="410"/>
      <c r="P186" s="410"/>
      <c r="Q186" s="410"/>
      <c r="R186" s="410"/>
      <c r="S186" s="410"/>
      <c r="T186" s="410"/>
      <c r="U186" s="410"/>
      <c r="V186" s="410"/>
      <c r="W186" s="410"/>
      <c r="X186" s="410">
        <f aca="true" t="shared" si="62" ref="X186:AM186">+IF(X10=0,"",X61-X57)</f>
      </c>
      <c r="Y186" s="410">
        <f t="shared" si="62"/>
      </c>
      <c r="Z186" s="410">
        <f t="shared" si="62"/>
      </c>
      <c r="AA186" s="410">
        <f t="shared" si="62"/>
      </c>
      <c r="AB186" s="410">
        <f t="shared" si="62"/>
      </c>
      <c r="AC186" s="410">
        <f t="shared" si="62"/>
      </c>
      <c r="AD186" s="410">
        <f t="shared" si="62"/>
      </c>
      <c r="AE186" s="410">
        <f t="shared" si="62"/>
      </c>
      <c r="AF186" s="410">
        <f t="shared" si="62"/>
      </c>
      <c r="AG186" s="410">
        <f t="shared" si="62"/>
      </c>
      <c r="AH186" s="410">
        <f t="shared" si="62"/>
      </c>
      <c r="AI186" s="410">
        <f t="shared" si="62"/>
      </c>
      <c r="AJ186" s="410">
        <f t="shared" si="62"/>
      </c>
      <c r="AK186" s="410">
        <f t="shared" si="62"/>
      </c>
      <c r="AL186" s="410">
        <f t="shared" si="62"/>
      </c>
      <c r="AM186" s="411">
        <f t="shared" si="62"/>
      </c>
    </row>
    <row r="187" spans="5:39" ht="14.25" outlineLevel="2">
      <c r="E187" s="398"/>
      <c r="F187" s="399"/>
      <c r="G187" s="400"/>
      <c r="H187" s="400"/>
      <c r="I187" s="401"/>
      <c r="J187" s="402"/>
      <c r="K187" s="403"/>
      <c r="L187" s="403"/>
      <c r="M187" s="403"/>
      <c r="N187" s="403"/>
      <c r="O187" s="403"/>
      <c r="P187" s="403"/>
      <c r="Q187" s="403"/>
      <c r="R187" s="403"/>
      <c r="S187" s="403"/>
      <c r="T187" s="403"/>
      <c r="U187" s="403"/>
      <c r="V187" s="403"/>
      <c r="W187" s="403"/>
      <c r="X187" s="403">
        <f aca="true" t="shared" si="63" ref="X187:AM187">+IF(X10=0,"",X62-X56)</f>
      </c>
      <c r="Y187" s="403">
        <f t="shared" si="63"/>
      </c>
      <c r="Z187" s="403">
        <f t="shared" si="63"/>
      </c>
      <c r="AA187" s="403">
        <f t="shared" si="63"/>
      </c>
      <c r="AB187" s="403">
        <f t="shared" si="63"/>
      </c>
      <c r="AC187" s="403">
        <f t="shared" si="63"/>
      </c>
      <c r="AD187" s="403">
        <f t="shared" si="63"/>
      </c>
      <c r="AE187" s="403">
        <f t="shared" si="63"/>
      </c>
      <c r="AF187" s="403">
        <f t="shared" si="63"/>
      </c>
      <c r="AG187" s="403">
        <f t="shared" si="63"/>
      </c>
      <c r="AH187" s="403">
        <f t="shared" si="63"/>
      </c>
      <c r="AI187" s="403">
        <f t="shared" si="63"/>
      </c>
      <c r="AJ187" s="403">
        <f t="shared" si="63"/>
      </c>
      <c r="AK187" s="403">
        <f t="shared" si="63"/>
      </c>
      <c r="AL187" s="403">
        <f t="shared" si="63"/>
      </c>
      <c r="AM187" s="404">
        <f t="shared" si="63"/>
      </c>
    </row>
    <row r="188" spans="5:39" ht="14.25" outlineLevel="2">
      <c r="E188" s="405"/>
      <c r="F188" s="406"/>
      <c r="G188" s="407"/>
      <c r="H188" s="407"/>
      <c r="I188" s="408"/>
      <c r="J188" s="409"/>
      <c r="K188" s="410"/>
      <c r="L188" s="410"/>
      <c r="M188" s="410"/>
      <c r="N188" s="410"/>
      <c r="O188" s="410"/>
      <c r="P188" s="410"/>
      <c r="Q188" s="410"/>
      <c r="R188" s="410"/>
      <c r="S188" s="410"/>
      <c r="T188" s="410"/>
      <c r="U188" s="410"/>
      <c r="V188" s="410"/>
      <c r="W188" s="410"/>
      <c r="X188" s="410">
        <f aca="true" t="shared" si="64" ref="X188:AM188">+IF(X10=0,"",X62-X57)</f>
      </c>
      <c r="Y188" s="410">
        <f t="shared" si="64"/>
      </c>
      <c r="Z188" s="410">
        <f t="shared" si="64"/>
      </c>
      <c r="AA188" s="410">
        <f t="shared" si="64"/>
      </c>
      <c r="AB188" s="410">
        <f t="shared" si="64"/>
      </c>
      <c r="AC188" s="410">
        <f t="shared" si="64"/>
      </c>
      <c r="AD188" s="410">
        <f t="shared" si="64"/>
      </c>
      <c r="AE188" s="410">
        <f t="shared" si="64"/>
      </c>
      <c r="AF188" s="410">
        <f t="shared" si="64"/>
      </c>
      <c r="AG188" s="410">
        <f t="shared" si="64"/>
      </c>
      <c r="AH188" s="410">
        <f t="shared" si="64"/>
      </c>
      <c r="AI188" s="410">
        <f t="shared" si="64"/>
      </c>
      <c r="AJ188" s="410">
        <f t="shared" si="64"/>
      </c>
      <c r="AK188" s="410">
        <f t="shared" si="64"/>
      </c>
      <c r="AL188" s="410">
        <f t="shared" si="64"/>
      </c>
      <c r="AM188" s="411">
        <f t="shared" si="64"/>
      </c>
    </row>
    <row r="189" spans="5:39" ht="14.25" outlineLevel="1">
      <c r="E189" s="422"/>
      <c r="F189" s="84"/>
      <c r="G189" s="84"/>
      <c r="H189" s="84"/>
      <c r="I189" s="8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5:39" ht="14.25" outlineLevel="2">
      <c r="E190" s="27"/>
      <c r="F190" s="33"/>
      <c r="G190" s="86"/>
      <c r="H190" s="86"/>
      <c r="I190" s="8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5:39" ht="14.25" outlineLevel="2">
      <c r="E191" s="28"/>
      <c r="F191" s="33"/>
      <c r="G191" s="86"/>
      <c r="H191" s="86"/>
      <c r="I191" s="8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5:39" ht="14.25" outlineLevel="2">
      <c r="E192" s="29"/>
      <c r="F192" s="33"/>
      <c r="G192" s="86"/>
      <c r="H192" s="86"/>
      <c r="I192" s="8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40" ht="14.25" outlineLevel="2">
      <c r="A193" s="371"/>
      <c r="B193" s="371"/>
      <c r="C193" s="371"/>
      <c r="D193" s="371"/>
      <c r="E193" s="265"/>
      <c r="F193" s="266"/>
      <c r="G193" s="267"/>
      <c r="H193" s="267"/>
      <c r="I193" s="268"/>
      <c r="J193" s="372"/>
      <c r="K193" s="373"/>
      <c r="L193" s="373"/>
      <c r="M193" s="373"/>
      <c r="N193" s="373"/>
      <c r="O193" s="373"/>
      <c r="P193" s="373"/>
      <c r="Q193" s="373"/>
      <c r="R193" s="373"/>
      <c r="S193" s="373"/>
      <c r="T193" s="373"/>
      <c r="U193" s="373"/>
      <c r="V193" s="373"/>
      <c r="W193" s="373"/>
      <c r="X193" s="373">
        <f aca="true" t="shared" si="65" ref="X193:AM193">+IF(X10=0,0,IF(W219&lt;&gt;0,X219/W219-1,0))</f>
        <v>0</v>
      </c>
      <c r="Y193" s="373">
        <f t="shared" si="65"/>
        <v>0</v>
      </c>
      <c r="Z193" s="373">
        <f t="shared" si="65"/>
        <v>0</v>
      </c>
      <c r="AA193" s="373">
        <f t="shared" si="65"/>
        <v>0</v>
      </c>
      <c r="AB193" s="373">
        <f t="shared" si="65"/>
        <v>0</v>
      </c>
      <c r="AC193" s="373">
        <f t="shared" si="65"/>
        <v>0</v>
      </c>
      <c r="AD193" s="373">
        <f t="shared" si="65"/>
        <v>0</v>
      </c>
      <c r="AE193" s="373">
        <f t="shared" si="65"/>
        <v>0</v>
      </c>
      <c r="AF193" s="373">
        <f t="shared" si="65"/>
        <v>0</v>
      </c>
      <c r="AG193" s="373">
        <f t="shared" si="65"/>
        <v>0</v>
      </c>
      <c r="AH193" s="373">
        <f t="shared" si="65"/>
        <v>0</v>
      </c>
      <c r="AI193" s="373">
        <f t="shared" si="65"/>
        <v>0</v>
      </c>
      <c r="AJ193" s="373">
        <f t="shared" si="65"/>
        <v>0</v>
      </c>
      <c r="AK193" s="373">
        <f t="shared" si="65"/>
        <v>0</v>
      </c>
      <c r="AL193" s="373">
        <f t="shared" si="65"/>
        <v>0</v>
      </c>
      <c r="AM193" s="374">
        <f t="shared" si="65"/>
        <v>0</v>
      </c>
      <c r="AN193" s="375"/>
    </row>
    <row r="194" spans="1:40" ht="15" outlineLevel="2">
      <c r="A194" s="264"/>
      <c r="B194" s="264"/>
      <c r="C194" s="264"/>
      <c r="D194" s="264"/>
      <c r="E194" s="269"/>
      <c r="F194" s="308"/>
      <c r="G194" s="309"/>
      <c r="H194" s="309"/>
      <c r="I194" s="310"/>
      <c r="J194" s="270"/>
      <c r="K194" s="271"/>
      <c r="L194" s="271"/>
      <c r="M194" s="271"/>
      <c r="N194" s="271"/>
      <c r="O194" s="271"/>
      <c r="P194" s="271"/>
      <c r="Q194" s="271"/>
      <c r="R194" s="271"/>
      <c r="S194" s="271"/>
      <c r="T194" s="271"/>
      <c r="U194" s="271"/>
      <c r="V194" s="271"/>
      <c r="W194" s="271"/>
      <c r="X194" s="271">
        <f aca="true" t="shared" si="66" ref="X194:AM194">+IF(X10=0,0,IF(W220&lt;&gt;0,X220/W220-1,0))</f>
        <v>0</v>
      </c>
      <c r="Y194" s="271">
        <f t="shared" si="66"/>
        <v>0</v>
      </c>
      <c r="Z194" s="271">
        <f t="shared" si="66"/>
        <v>0</v>
      </c>
      <c r="AA194" s="271">
        <f t="shared" si="66"/>
        <v>0</v>
      </c>
      <c r="AB194" s="271">
        <f t="shared" si="66"/>
        <v>0</v>
      </c>
      <c r="AC194" s="271">
        <f t="shared" si="66"/>
        <v>0</v>
      </c>
      <c r="AD194" s="271">
        <f t="shared" si="66"/>
        <v>0</v>
      </c>
      <c r="AE194" s="271">
        <f t="shared" si="66"/>
        <v>0</v>
      </c>
      <c r="AF194" s="271">
        <f t="shared" si="66"/>
        <v>0</v>
      </c>
      <c r="AG194" s="271">
        <f t="shared" si="66"/>
        <v>0</v>
      </c>
      <c r="AH194" s="271">
        <f t="shared" si="66"/>
        <v>0</v>
      </c>
      <c r="AI194" s="271">
        <f t="shared" si="66"/>
        <v>0</v>
      </c>
      <c r="AJ194" s="271">
        <f t="shared" si="66"/>
        <v>0</v>
      </c>
      <c r="AK194" s="271">
        <f t="shared" si="66"/>
        <v>0</v>
      </c>
      <c r="AL194" s="271">
        <f t="shared" si="66"/>
        <v>0</v>
      </c>
      <c r="AM194" s="272">
        <f t="shared" si="66"/>
        <v>0</v>
      </c>
      <c r="AN194" s="250"/>
    </row>
    <row r="195" spans="1:40" ht="15" outlineLevel="2">
      <c r="A195" s="264"/>
      <c r="B195" s="264"/>
      <c r="C195" s="264"/>
      <c r="D195" s="264"/>
      <c r="E195" s="273"/>
      <c r="F195" s="311"/>
      <c r="G195" s="312"/>
      <c r="H195" s="312"/>
      <c r="I195" s="313"/>
      <c r="J195" s="270"/>
      <c r="K195" s="271"/>
      <c r="L195" s="271"/>
      <c r="M195" s="271"/>
      <c r="N195" s="271"/>
      <c r="O195" s="271"/>
      <c r="P195" s="271"/>
      <c r="Q195" s="271"/>
      <c r="R195" s="271"/>
      <c r="S195" s="271"/>
      <c r="T195" s="271"/>
      <c r="U195" s="271"/>
      <c r="V195" s="271"/>
      <c r="W195" s="271"/>
      <c r="X195" s="271">
        <f aca="true" t="shared" si="67" ref="X195:AM195">+IF(X10=0,0,IF(W221&lt;&gt;0,X221/W221-1,0))</f>
        <v>0</v>
      </c>
      <c r="Y195" s="271">
        <f t="shared" si="67"/>
        <v>0</v>
      </c>
      <c r="Z195" s="271">
        <f t="shared" si="67"/>
        <v>0</v>
      </c>
      <c r="AA195" s="271">
        <f t="shared" si="67"/>
        <v>0</v>
      </c>
      <c r="AB195" s="271">
        <f t="shared" si="67"/>
        <v>0</v>
      </c>
      <c r="AC195" s="271">
        <f t="shared" si="67"/>
        <v>0</v>
      </c>
      <c r="AD195" s="271">
        <f t="shared" si="67"/>
        <v>0</v>
      </c>
      <c r="AE195" s="271">
        <f t="shared" si="67"/>
        <v>0</v>
      </c>
      <c r="AF195" s="271">
        <f t="shared" si="67"/>
        <v>0</v>
      </c>
      <c r="AG195" s="271">
        <f t="shared" si="67"/>
        <v>0</v>
      </c>
      <c r="AH195" s="271">
        <f t="shared" si="67"/>
        <v>0</v>
      </c>
      <c r="AI195" s="271">
        <f t="shared" si="67"/>
        <v>0</v>
      </c>
      <c r="AJ195" s="271">
        <f t="shared" si="67"/>
        <v>0</v>
      </c>
      <c r="AK195" s="271">
        <f t="shared" si="67"/>
        <v>0</v>
      </c>
      <c r="AL195" s="271">
        <f t="shared" si="67"/>
        <v>0</v>
      </c>
      <c r="AM195" s="272">
        <f t="shared" si="67"/>
        <v>0</v>
      </c>
      <c r="AN195" s="250"/>
    </row>
    <row r="196" spans="1:40" ht="15" outlineLevel="2">
      <c r="A196" s="264"/>
      <c r="B196" s="264"/>
      <c r="C196" s="264"/>
      <c r="D196" s="264"/>
      <c r="E196" s="273"/>
      <c r="F196" s="311"/>
      <c r="G196" s="312"/>
      <c r="H196" s="312"/>
      <c r="I196" s="313"/>
      <c r="J196" s="270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>
        <f aca="true" t="shared" si="68" ref="X196:AM196">+IF(X10=0,0,IF(W222&lt;&gt;0,X222/W222-1,0))</f>
        <v>0</v>
      </c>
      <c r="Y196" s="271">
        <f t="shared" si="68"/>
        <v>0</v>
      </c>
      <c r="Z196" s="271">
        <f t="shared" si="68"/>
        <v>0</v>
      </c>
      <c r="AA196" s="271">
        <f t="shared" si="68"/>
        <v>0</v>
      </c>
      <c r="AB196" s="271">
        <f t="shared" si="68"/>
        <v>0</v>
      </c>
      <c r="AC196" s="271">
        <f t="shared" si="68"/>
        <v>0</v>
      </c>
      <c r="AD196" s="271">
        <f t="shared" si="68"/>
        <v>0</v>
      </c>
      <c r="AE196" s="271">
        <f t="shared" si="68"/>
        <v>0</v>
      </c>
      <c r="AF196" s="271">
        <f t="shared" si="68"/>
        <v>0</v>
      </c>
      <c r="AG196" s="271">
        <f t="shared" si="68"/>
        <v>0</v>
      </c>
      <c r="AH196" s="271">
        <f t="shared" si="68"/>
        <v>0</v>
      </c>
      <c r="AI196" s="271">
        <f t="shared" si="68"/>
        <v>0</v>
      </c>
      <c r="AJ196" s="271">
        <f t="shared" si="68"/>
        <v>0</v>
      </c>
      <c r="AK196" s="271">
        <f t="shared" si="68"/>
        <v>0</v>
      </c>
      <c r="AL196" s="271">
        <f t="shared" si="68"/>
        <v>0</v>
      </c>
      <c r="AM196" s="272">
        <f t="shared" si="68"/>
        <v>0</v>
      </c>
      <c r="AN196" s="250"/>
    </row>
    <row r="197" spans="1:40" ht="15" outlineLevel="2">
      <c r="A197" s="264"/>
      <c r="B197" s="264"/>
      <c r="C197" s="264"/>
      <c r="D197" s="264"/>
      <c r="E197" s="273"/>
      <c r="F197" s="311"/>
      <c r="G197" s="312"/>
      <c r="H197" s="312"/>
      <c r="I197" s="313"/>
      <c r="J197" s="270"/>
      <c r="K197" s="271"/>
      <c r="L197" s="271"/>
      <c r="M197" s="271"/>
      <c r="N197" s="271"/>
      <c r="O197" s="271"/>
      <c r="P197" s="271"/>
      <c r="Q197" s="271"/>
      <c r="R197" s="271"/>
      <c r="S197" s="271"/>
      <c r="T197" s="271"/>
      <c r="U197" s="271"/>
      <c r="V197" s="271"/>
      <c r="W197" s="271"/>
      <c r="X197" s="271">
        <f aca="true" t="shared" si="69" ref="X197:AM197">+IF(X10=0,0,IF(W223&lt;&gt;0,X223/W223-1,0))</f>
        <v>0</v>
      </c>
      <c r="Y197" s="271">
        <f t="shared" si="69"/>
        <v>0</v>
      </c>
      <c r="Z197" s="271">
        <f t="shared" si="69"/>
        <v>0</v>
      </c>
      <c r="AA197" s="271">
        <f t="shared" si="69"/>
        <v>0</v>
      </c>
      <c r="AB197" s="271">
        <f t="shared" si="69"/>
        <v>0</v>
      </c>
      <c r="AC197" s="271">
        <f t="shared" si="69"/>
        <v>0</v>
      </c>
      <c r="AD197" s="271">
        <f t="shared" si="69"/>
        <v>0</v>
      </c>
      <c r="AE197" s="271">
        <f t="shared" si="69"/>
        <v>0</v>
      </c>
      <c r="AF197" s="271">
        <f t="shared" si="69"/>
        <v>0</v>
      </c>
      <c r="AG197" s="271">
        <f t="shared" si="69"/>
        <v>0</v>
      </c>
      <c r="AH197" s="271">
        <f t="shared" si="69"/>
        <v>0</v>
      </c>
      <c r="AI197" s="271">
        <f t="shared" si="69"/>
        <v>0</v>
      </c>
      <c r="AJ197" s="271">
        <f t="shared" si="69"/>
        <v>0</v>
      </c>
      <c r="AK197" s="271">
        <f t="shared" si="69"/>
        <v>0</v>
      </c>
      <c r="AL197" s="271">
        <f t="shared" si="69"/>
        <v>0</v>
      </c>
      <c r="AM197" s="272">
        <f t="shared" si="69"/>
        <v>0</v>
      </c>
      <c r="AN197" s="250"/>
    </row>
    <row r="198" spans="1:40" ht="15" outlineLevel="2">
      <c r="A198" s="264"/>
      <c r="B198" s="264"/>
      <c r="C198" s="264"/>
      <c r="D198" s="264"/>
      <c r="E198" s="274"/>
      <c r="F198" s="314"/>
      <c r="G198" s="315"/>
      <c r="H198" s="315"/>
      <c r="I198" s="316"/>
      <c r="J198" s="275"/>
      <c r="K198" s="276"/>
      <c r="L198" s="276"/>
      <c r="M198" s="276"/>
      <c r="N198" s="276"/>
      <c r="O198" s="276"/>
      <c r="P198" s="276"/>
      <c r="Q198" s="276"/>
      <c r="R198" s="276"/>
      <c r="S198" s="276"/>
      <c r="T198" s="276"/>
      <c r="U198" s="276"/>
      <c r="V198" s="276"/>
      <c r="W198" s="276"/>
      <c r="X198" s="276">
        <f aca="true" t="shared" si="70" ref="X198:AM198">+IF(X10=0,0,IF(W224&lt;&gt;0,X224/W224-1,0))</f>
        <v>0</v>
      </c>
      <c r="Y198" s="276">
        <f t="shared" si="70"/>
        <v>0</v>
      </c>
      <c r="Z198" s="276">
        <f t="shared" si="70"/>
        <v>0</v>
      </c>
      <c r="AA198" s="276">
        <f t="shared" si="70"/>
        <v>0</v>
      </c>
      <c r="AB198" s="276">
        <f t="shared" si="70"/>
        <v>0</v>
      </c>
      <c r="AC198" s="276">
        <f t="shared" si="70"/>
        <v>0</v>
      </c>
      <c r="AD198" s="276">
        <f t="shared" si="70"/>
        <v>0</v>
      </c>
      <c r="AE198" s="276">
        <f t="shared" si="70"/>
        <v>0</v>
      </c>
      <c r="AF198" s="276">
        <f t="shared" si="70"/>
        <v>0</v>
      </c>
      <c r="AG198" s="276">
        <f t="shared" si="70"/>
        <v>0</v>
      </c>
      <c r="AH198" s="276">
        <f t="shared" si="70"/>
        <v>0</v>
      </c>
      <c r="AI198" s="276">
        <f t="shared" si="70"/>
        <v>0</v>
      </c>
      <c r="AJ198" s="276">
        <f t="shared" si="70"/>
        <v>0</v>
      </c>
      <c r="AK198" s="276">
        <f t="shared" si="70"/>
        <v>0</v>
      </c>
      <c r="AL198" s="276">
        <f t="shared" si="70"/>
        <v>0</v>
      </c>
      <c r="AM198" s="277">
        <f t="shared" si="70"/>
        <v>0</v>
      </c>
      <c r="AN198" s="250"/>
    </row>
    <row r="199" spans="1:40" ht="14.25" outlineLevel="2">
      <c r="A199" s="371"/>
      <c r="B199" s="371"/>
      <c r="C199" s="371"/>
      <c r="D199" s="371"/>
      <c r="E199" s="265"/>
      <c r="F199" s="266"/>
      <c r="G199" s="267"/>
      <c r="H199" s="267"/>
      <c r="I199" s="268"/>
      <c r="J199" s="372"/>
      <c r="K199" s="373"/>
      <c r="L199" s="373"/>
      <c r="M199" s="373"/>
      <c r="N199" s="373"/>
      <c r="O199" s="373"/>
      <c r="P199" s="373"/>
      <c r="Q199" s="373"/>
      <c r="R199" s="373"/>
      <c r="S199" s="373"/>
      <c r="T199" s="373"/>
      <c r="U199" s="373"/>
      <c r="V199" s="373"/>
      <c r="W199" s="373"/>
      <c r="X199" s="373">
        <f aca="true" t="shared" si="71" ref="X199:AM199">+IF(X10=0,0,IF(W225&lt;&gt;0,X225/W225-1,0))</f>
        <v>0</v>
      </c>
      <c r="Y199" s="373">
        <f t="shared" si="71"/>
        <v>0</v>
      </c>
      <c r="Z199" s="373">
        <f t="shared" si="71"/>
        <v>0</v>
      </c>
      <c r="AA199" s="373">
        <f t="shared" si="71"/>
        <v>0</v>
      </c>
      <c r="AB199" s="373">
        <f t="shared" si="71"/>
        <v>0</v>
      </c>
      <c r="AC199" s="373">
        <f t="shared" si="71"/>
        <v>0</v>
      </c>
      <c r="AD199" s="373">
        <f t="shared" si="71"/>
        <v>0</v>
      </c>
      <c r="AE199" s="373">
        <f t="shared" si="71"/>
        <v>0</v>
      </c>
      <c r="AF199" s="373">
        <f t="shared" si="71"/>
        <v>0</v>
      </c>
      <c r="AG199" s="373">
        <f t="shared" si="71"/>
        <v>0</v>
      </c>
      <c r="AH199" s="373">
        <f t="shared" si="71"/>
        <v>0</v>
      </c>
      <c r="AI199" s="373">
        <f t="shared" si="71"/>
        <v>0</v>
      </c>
      <c r="AJ199" s="373">
        <f t="shared" si="71"/>
        <v>0</v>
      </c>
      <c r="AK199" s="373">
        <f t="shared" si="71"/>
        <v>0</v>
      </c>
      <c r="AL199" s="373">
        <f t="shared" si="71"/>
        <v>0</v>
      </c>
      <c r="AM199" s="374">
        <f t="shared" si="71"/>
        <v>0</v>
      </c>
      <c r="AN199" s="375"/>
    </row>
    <row r="200" spans="1:40" ht="15" outlineLevel="2">
      <c r="A200" s="264"/>
      <c r="B200" s="264"/>
      <c r="C200" s="264"/>
      <c r="D200" s="264"/>
      <c r="E200" s="278"/>
      <c r="F200" s="311"/>
      <c r="G200" s="312"/>
      <c r="H200" s="312"/>
      <c r="I200" s="313"/>
      <c r="J200" s="270"/>
      <c r="K200" s="271"/>
      <c r="L200" s="271"/>
      <c r="M200" s="271"/>
      <c r="N200" s="271"/>
      <c r="O200" s="271"/>
      <c r="P200" s="271"/>
      <c r="Q200" s="271"/>
      <c r="R200" s="271"/>
      <c r="S200" s="271"/>
      <c r="T200" s="271"/>
      <c r="U200" s="271"/>
      <c r="V200" s="271"/>
      <c r="W200" s="271"/>
      <c r="X200" s="271">
        <f aca="true" t="shared" si="72" ref="X200:AM200">+IF(X10=0,0,IF(W226&lt;&gt;0,X226/W226-1,0))</f>
        <v>0</v>
      </c>
      <c r="Y200" s="271">
        <f t="shared" si="72"/>
        <v>0</v>
      </c>
      <c r="Z200" s="271">
        <f t="shared" si="72"/>
        <v>0</v>
      </c>
      <c r="AA200" s="271">
        <f t="shared" si="72"/>
        <v>0</v>
      </c>
      <c r="AB200" s="271">
        <f t="shared" si="72"/>
        <v>0</v>
      </c>
      <c r="AC200" s="271">
        <f t="shared" si="72"/>
        <v>0</v>
      </c>
      <c r="AD200" s="271">
        <f t="shared" si="72"/>
        <v>0</v>
      </c>
      <c r="AE200" s="271">
        <f t="shared" si="72"/>
        <v>0</v>
      </c>
      <c r="AF200" s="271">
        <f t="shared" si="72"/>
        <v>0</v>
      </c>
      <c r="AG200" s="271">
        <f t="shared" si="72"/>
        <v>0</v>
      </c>
      <c r="AH200" s="271">
        <f t="shared" si="72"/>
        <v>0</v>
      </c>
      <c r="AI200" s="271">
        <f t="shared" si="72"/>
        <v>0</v>
      </c>
      <c r="AJ200" s="271">
        <f t="shared" si="72"/>
        <v>0</v>
      </c>
      <c r="AK200" s="271">
        <f t="shared" si="72"/>
        <v>0</v>
      </c>
      <c r="AL200" s="271">
        <f t="shared" si="72"/>
        <v>0</v>
      </c>
      <c r="AM200" s="272">
        <f t="shared" si="72"/>
        <v>0</v>
      </c>
      <c r="AN200" s="250"/>
    </row>
    <row r="201" spans="1:40" ht="14.25" outlineLevel="2">
      <c r="A201" s="371"/>
      <c r="B201" s="371"/>
      <c r="C201" s="371"/>
      <c r="D201" s="371"/>
      <c r="E201" s="279"/>
      <c r="F201" s="317"/>
      <c r="G201" s="318"/>
      <c r="H201" s="318"/>
      <c r="I201" s="319"/>
      <c r="J201" s="376"/>
      <c r="K201" s="377"/>
      <c r="L201" s="377"/>
      <c r="M201" s="377"/>
      <c r="N201" s="377"/>
      <c r="O201" s="377"/>
      <c r="P201" s="377"/>
      <c r="Q201" s="377"/>
      <c r="R201" s="377"/>
      <c r="S201" s="377"/>
      <c r="T201" s="377"/>
      <c r="U201" s="377"/>
      <c r="V201" s="377"/>
      <c r="W201" s="377"/>
      <c r="X201" s="377">
        <f aca="true" t="shared" si="73" ref="X201:AM201">+IF(X10=0,0,IF(W227&lt;&gt;0,X227/W227-1,0))</f>
        <v>0</v>
      </c>
      <c r="Y201" s="377">
        <f t="shared" si="73"/>
        <v>0</v>
      </c>
      <c r="Z201" s="377">
        <f t="shared" si="73"/>
        <v>0</v>
      </c>
      <c r="AA201" s="377">
        <f t="shared" si="73"/>
        <v>0</v>
      </c>
      <c r="AB201" s="377">
        <f t="shared" si="73"/>
        <v>0</v>
      </c>
      <c r="AC201" s="377">
        <f t="shared" si="73"/>
        <v>0</v>
      </c>
      <c r="AD201" s="377">
        <f t="shared" si="73"/>
        <v>0</v>
      </c>
      <c r="AE201" s="377">
        <f t="shared" si="73"/>
        <v>0</v>
      </c>
      <c r="AF201" s="377">
        <f t="shared" si="73"/>
        <v>0</v>
      </c>
      <c r="AG201" s="377">
        <f t="shared" si="73"/>
        <v>0</v>
      </c>
      <c r="AH201" s="377">
        <f t="shared" si="73"/>
        <v>0</v>
      </c>
      <c r="AI201" s="377">
        <f t="shared" si="73"/>
        <v>0</v>
      </c>
      <c r="AJ201" s="377">
        <f t="shared" si="73"/>
        <v>0</v>
      </c>
      <c r="AK201" s="377">
        <f t="shared" si="73"/>
        <v>0</v>
      </c>
      <c r="AL201" s="377">
        <f t="shared" si="73"/>
        <v>0</v>
      </c>
      <c r="AM201" s="378">
        <f t="shared" si="73"/>
        <v>0</v>
      </c>
      <c r="AN201" s="375"/>
    </row>
    <row r="202" spans="1:40" ht="15" outlineLevel="2">
      <c r="A202" s="264"/>
      <c r="B202" s="264"/>
      <c r="C202" s="264"/>
      <c r="D202" s="264"/>
      <c r="E202" s="273"/>
      <c r="F202" s="311"/>
      <c r="G202" s="312"/>
      <c r="H202" s="312"/>
      <c r="I202" s="313"/>
      <c r="J202" s="270"/>
      <c r="K202" s="271"/>
      <c r="L202" s="271"/>
      <c r="M202" s="271"/>
      <c r="N202" s="271"/>
      <c r="O202" s="271"/>
      <c r="P202" s="271"/>
      <c r="Q202" s="271"/>
      <c r="R202" s="271"/>
      <c r="S202" s="271"/>
      <c r="T202" s="271"/>
      <c r="U202" s="271"/>
      <c r="V202" s="271"/>
      <c r="W202" s="271"/>
      <c r="X202" s="271">
        <f aca="true" t="shared" si="74" ref="X202:AM202">+IF(X10=0,0,IF(W228&lt;&gt;0,X228/W228-1,0))</f>
        <v>0</v>
      </c>
      <c r="Y202" s="271">
        <f t="shared" si="74"/>
        <v>0</v>
      </c>
      <c r="Z202" s="271">
        <f t="shared" si="74"/>
        <v>0</v>
      </c>
      <c r="AA202" s="271">
        <f t="shared" si="74"/>
        <v>0</v>
      </c>
      <c r="AB202" s="271">
        <f t="shared" si="74"/>
        <v>0</v>
      </c>
      <c r="AC202" s="271">
        <f t="shared" si="74"/>
        <v>0</v>
      </c>
      <c r="AD202" s="271">
        <f t="shared" si="74"/>
        <v>0</v>
      </c>
      <c r="AE202" s="271">
        <f t="shared" si="74"/>
        <v>0</v>
      </c>
      <c r="AF202" s="271">
        <f t="shared" si="74"/>
        <v>0</v>
      </c>
      <c r="AG202" s="271">
        <f t="shared" si="74"/>
        <v>0</v>
      </c>
      <c r="AH202" s="271">
        <f t="shared" si="74"/>
        <v>0</v>
      </c>
      <c r="AI202" s="271">
        <f t="shared" si="74"/>
        <v>0</v>
      </c>
      <c r="AJ202" s="271">
        <f t="shared" si="74"/>
        <v>0</v>
      </c>
      <c r="AK202" s="271">
        <f t="shared" si="74"/>
        <v>0</v>
      </c>
      <c r="AL202" s="271">
        <f t="shared" si="74"/>
        <v>0</v>
      </c>
      <c r="AM202" s="272">
        <f t="shared" si="74"/>
        <v>0</v>
      </c>
      <c r="AN202" s="250"/>
    </row>
    <row r="203" spans="1:40" ht="15" outlineLevel="2">
      <c r="A203" s="264"/>
      <c r="B203" s="264"/>
      <c r="C203" s="264"/>
      <c r="D203" s="264"/>
      <c r="E203" s="273"/>
      <c r="F203" s="311"/>
      <c r="G203" s="312"/>
      <c r="H203" s="312"/>
      <c r="I203" s="313"/>
      <c r="J203" s="270"/>
      <c r="K203" s="271"/>
      <c r="L203" s="271"/>
      <c r="M203" s="271"/>
      <c r="N203" s="271"/>
      <c r="O203" s="271"/>
      <c r="P203" s="271"/>
      <c r="Q203" s="271"/>
      <c r="R203" s="271"/>
      <c r="S203" s="271"/>
      <c r="T203" s="271"/>
      <c r="U203" s="271"/>
      <c r="V203" s="271"/>
      <c r="W203" s="271"/>
      <c r="X203" s="271">
        <f aca="true" t="shared" si="75" ref="X203:AM203">+IF(X10=0,0,IF(W229&lt;&gt;0,X229/W229-1,0))</f>
        <v>0</v>
      </c>
      <c r="Y203" s="271">
        <f t="shared" si="75"/>
        <v>0</v>
      </c>
      <c r="Z203" s="271">
        <f t="shared" si="75"/>
        <v>0</v>
      </c>
      <c r="AA203" s="271">
        <f t="shared" si="75"/>
        <v>0</v>
      </c>
      <c r="AB203" s="271">
        <f t="shared" si="75"/>
        <v>0</v>
      </c>
      <c r="AC203" s="271">
        <f t="shared" si="75"/>
        <v>0</v>
      </c>
      <c r="AD203" s="271">
        <f t="shared" si="75"/>
        <v>0</v>
      </c>
      <c r="AE203" s="271">
        <f t="shared" si="75"/>
        <v>0</v>
      </c>
      <c r="AF203" s="271">
        <f t="shared" si="75"/>
        <v>0</v>
      </c>
      <c r="AG203" s="271">
        <f t="shared" si="75"/>
        <v>0</v>
      </c>
      <c r="AH203" s="271">
        <f t="shared" si="75"/>
        <v>0</v>
      </c>
      <c r="AI203" s="271">
        <f t="shared" si="75"/>
        <v>0</v>
      </c>
      <c r="AJ203" s="271">
        <f t="shared" si="75"/>
        <v>0</v>
      </c>
      <c r="AK203" s="271">
        <f t="shared" si="75"/>
        <v>0</v>
      </c>
      <c r="AL203" s="271">
        <f t="shared" si="75"/>
        <v>0</v>
      </c>
      <c r="AM203" s="272">
        <f t="shared" si="75"/>
        <v>0</v>
      </c>
      <c r="AN203" s="250"/>
    </row>
    <row r="204" spans="1:40" ht="15" outlineLevel="2">
      <c r="A204" s="264"/>
      <c r="B204" s="264"/>
      <c r="C204" s="264"/>
      <c r="D204" s="264"/>
      <c r="E204" s="274"/>
      <c r="F204" s="320"/>
      <c r="G204" s="321"/>
      <c r="H204" s="321"/>
      <c r="I204" s="322"/>
      <c r="J204" s="280"/>
      <c r="K204" s="281"/>
      <c r="L204" s="281"/>
      <c r="M204" s="281"/>
      <c r="N204" s="281"/>
      <c r="O204" s="281"/>
      <c r="P204" s="281"/>
      <c r="Q204" s="281"/>
      <c r="R204" s="281"/>
      <c r="S204" s="281"/>
      <c r="T204" s="281"/>
      <c r="U204" s="281"/>
      <c r="V204" s="281"/>
      <c r="W204" s="281"/>
      <c r="X204" s="281">
        <f aca="true" t="shared" si="76" ref="X204:AM204">+IF(X10=0,0,IF(W230&lt;&gt;0,X230/W230-1,0))</f>
        <v>0</v>
      </c>
      <c r="Y204" s="281">
        <f t="shared" si="76"/>
        <v>0</v>
      </c>
      <c r="Z204" s="281">
        <f t="shared" si="76"/>
        <v>0</v>
      </c>
      <c r="AA204" s="281">
        <f t="shared" si="76"/>
        <v>0</v>
      </c>
      <c r="AB204" s="281">
        <f t="shared" si="76"/>
        <v>0</v>
      </c>
      <c r="AC204" s="281">
        <f t="shared" si="76"/>
        <v>0</v>
      </c>
      <c r="AD204" s="281">
        <f t="shared" si="76"/>
        <v>0</v>
      </c>
      <c r="AE204" s="281">
        <f t="shared" si="76"/>
        <v>0</v>
      </c>
      <c r="AF204" s="281">
        <f t="shared" si="76"/>
        <v>0</v>
      </c>
      <c r="AG204" s="281">
        <f t="shared" si="76"/>
        <v>0</v>
      </c>
      <c r="AH204" s="281">
        <f t="shared" si="76"/>
        <v>0</v>
      </c>
      <c r="AI204" s="281">
        <f t="shared" si="76"/>
        <v>0</v>
      </c>
      <c r="AJ204" s="281">
        <f t="shared" si="76"/>
        <v>0</v>
      </c>
      <c r="AK204" s="281">
        <f t="shared" si="76"/>
        <v>0</v>
      </c>
      <c r="AL204" s="281">
        <f t="shared" si="76"/>
        <v>0</v>
      </c>
      <c r="AM204" s="282">
        <f t="shared" si="76"/>
        <v>0</v>
      </c>
      <c r="AN204" s="250"/>
    </row>
    <row r="205" spans="1:40" ht="15" outlineLevel="1">
      <c r="A205" s="264"/>
      <c r="B205" s="264"/>
      <c r="C205" s="264"/>
      <c r="D205" s="264"/>
      <c r="E205" s="422"/>
      <c r="F205" s="283"/>
      <c r="G205" s="283"/>
      <c r="H205" s="283"/>
      <c r="I205" s="283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50"/>
    </row>
    <row r="206" spans="1:40" ht="14.25" outlineLevel="2">
      <c r="A206" s="371"/>
      <c r="B206" s="371"/>
      <c r="C206" s="371"/>
      <c r="D206" s="371"/>
      <c r="E206" s="265"/>
      <c r="F206" s="353"/>
      <c r="G206" s="354"/>
      <c r="H206" s="354"/>
      <c r="I206" s="355"/>
      <c r="J206" s="379"/>
      <c r="K206" s="380"/>
      <c r="L206" s="380"/>
      <c r="M206" s="380"/>
      <c r="N206" s="380"/>
      <c r="O206" s="380"/>
      <c r="P206" s="380"/>
      <c r="Q206" s="380"/>
      <c r="R206" s="380"/>
      <c r="S206" s="380"/>
      <c r="T206" s="380"/>
      <c r="U206" s="380"/>
      <c r="V206" s="380"/>
      <c r="W206" s="380"/>
      <c r="X206" s="380">
        <f aca="true" t="shared" si="77" ref="X206:AM206">+IF(X$219=0,"",X219-W219)</f>
      </c>
      <c r="Y206" s="380">
        <f t="shared" si="77"/>
      </c>
      <c r="Z206" s="380">
        <f t="shared" si="77"/>
      </c>
      <c r="AA206" s="380">
        <f t="shared" si="77"/>
      </c>
      <c r="AB206" s="380">
        <f t="shared" si="77"/>
      </c>
      <c r="AC206" s="380">
        <f t="shared" si="77"/>
      </c>
      <c r="AD206" s="380">
        <f t="shared" si="77"/>
      </c>
      <c r="AE206" s="380">
        <f t="shared" si="77"/>
      </c>
      <c r="AF206" s="380">
        <f t="shared" si="77"/>
      </c>
      <c r="AG206" s="380">
        <f t="shared" si="77"/>
      </c>
      <c r="AH206" s="380">
        <f t="shared" si="77"/>
      </c>
      <c r="AI206" s="380">
        <f t="shared" si="77"/>
      </c>
      <c r="AJ206" s="380">
        <f t="shared" si="77"/>
      </c>
      <c r="AK206" s="380">
        <f t="shared" si="77"/>
      </c>
      <c r="AL206" s="380">
        <f t="shared" si="77"/>
      </c>
      <c r="AM206" s="381">
        <f t="shared" si="77"/>
      </c>
      <c r="AN206" s="375"/>
    </row>
    <row r="207" spans="1:40" ht="15" outlineLevel="2">
      <c r="A207" s="264"/>
      <c r="B207" s="264"/>
      <c r="C207" s="264"/>
      <c r="D207" s="264"/>
      <c r="E207" s="269"/>
      <c r="F207" s="359"/>
      <c r="G207" s="360"/>
      <c r="H207" s="360"/>
      <c r="I207" s="361"/>
      <c r="J207" s="288"/>
      <c r="K207" s="289"/>
      <c r="L207" s="289"/>
      <c r="M207" s="289"/>
      <c r="N207" s="289"/>
      <c r="O207" s="289"/>
      <c r="P207" s="289"/>
      <c r="Q207" s="289"/>
      <c r="R207" s="289"/>
      <c r="S207" s="289"/>
      <c r="T207" s="289"/>
      <c r="U207" s="289"/>
      <c r="V207" s="289"/>
      <c r="W207" s="289"/>
      <c r="X207" s="289">
        <f aca="true" t="shared" si="78" ref="X207:AM207">+IF(X$219=0,"",X220-W220)</f>
      </c>
      <c r="Y207" s="289">
        <f t="shared" si="78"/>
      </c>
      <c r="Z207" s="289">
        <f t="shared" si="78"/>
      </c>
      <c r="AA207" s="289">
        <f t="shared" si="78"/>
      </c>
      <c r="AB207" s="289">
        <f t="shared" si="78"/>
      </c>
      <c r="AC207" s="289">
        <f t="shared" si="78"/>
      </c>
      <c r="AD207" s="289">
        <f t="shared" si="78"/>
      </c>
      <c r="AE207" s="289">
        <f t="shared" si="78"/>
      </c>
      <c r="AF207" s="289">
        <f t="shared" si="78"/>
      </c>
      <c r="AG207" s="289">
        <f t="shared" si="78"/>
      </c>
      <c r="AH207" s="289">
        <f t="shared" si="78"/>
      </c>
      <c r="AI207" s="289">
        <f t="shared" si="78"/>
      </c>
      <c r="AJ207" s="289">
        <f t="shared" si="78"/>
      </c>
      <c r="AK207" s="289">
        <f t="shared" si="78"/>
      </c>
      <c r="AL207" s="289">
        <f t="shared" si="78"/>
      </c>
      <c r="AM207" s="290">
        <f t="shared" si="78"/>
      </c>
      <c r="AN207" s="250"/>
    </row>
    <row r="208" spans="1:40" ht="15" outlineLevel="2">
      <c r="A208" s="264"/>
      <c r="B208" s="264"/>
      <c r="C208" s="264"/>
      <c r="D208" s="264"/>
      <c r="E208" s="273"/>
      <c r="F208" s="362"/>
      <c r="G208" s="363"/>
      <c r="H208" s="363"/>
      <c r="I208" s="364"/>
      <c r="J208" s="288"/>
      <c r="K208" s="289"/>
      <c r="L208" s="289"/>
      <c r="M208" s="289"/>
      <c r="N208" s="289"/>
      <c r="O208" s="289"/>
      <c r="P208" s="289"/>
      <c r="Q208" s="289"/>
      <c r="R208" s="289"/>
      <c r="S208" s="289"/>
      <c r="T208" s="289"/>
      <c r="U208" s="289"/>
      <c r="V208" s="289"/>
      <c r="W208" s="289"/>
      <c r="X208" s="289">
        <f aca="true" t="shared" si="79" ref="X208:AM208">+IF(X$219=0,"",X221-W221)</f>
      </c>
      <c r="Y208" s="289">
        <f t="shared" si="79"/>
      </c>
      <c r="Z208" s="289">
        <f t="shared" si="79"/>
      </c>
      <c r="AA208" s="289">
        <f t="shared" si="79"/>
      </c>
      <c r="AB208" s="289">
        <f t="shared" si="79"/>
      </c>
      <c r="AC208" s="289">
        <f t="shared" si="79"/>
      </c>
      <c r="AD208" s="289">
        <f t="shared" si="79"/>
      </c>
      <c r="AE208" s="289">
        <f t="shared" si="79"/>
      </c>
      <c r="AF208" s="289">
        <f t="shared" si="79"/>
      </c>
      <c r="AG208" s="289">
        <f t="shared" si="79"/>
      </c>
      <c r="AH208" s="289">
        <f t="shared" si="79"/>
      </c>
      <c r="AI208" s="289">
        <f t="shared" si="79"/>
      </c>
      <c r="AJ208" s="289">
        <f t="shared" si="79"/>
      </c>
      <c r="AK208" s="289">
        <f t="shared" si="79"/>
      </c>
      <c r="AL208" s="289">
        <f t="shared" si="79"/>
      </c>
      <c r="AM208" s="290">
        <f t="shared" si="79"/>
      </c>
      <c r="AN208" s="250"/>
    </row>
    <row r="209" spans="1:40" ht="15" outlineLevel="2">
      <c r="A209" s="264"/>
      <c r="B209" s="264"/>
      <c r="C209" s="264"/>
      <c r="D209" s="264"/>
      <c r="E209" s="273"/>
      <c r="F209" s="362"/>
      <c r="G209" s="363"/>
      <c r="H209" s="363"/>
      <c r="I209" s="364"/>
      <c r="J209" s="288"/>
      <c r="K209" s="289"/>
      <c r="L209" s="289"/>
      <c r="M209" s="289"/>
      <c r="N209" s="289"/>
      <c r="O209" s="289"/>
      <c r="P209" s="289"/>
      <c r="Q209" s="289"/>
      <c r="R209" s="289"/>
      <c r="S209" s="289"/>
      <c r="T209" s="289"/>
      <c r="U209" s="289"/>
      <c r="V209" s="289"/>
      <c r="W209" s="289"/>
      <c r="X209" s="289">
        <f aca="true" t="shared" si="80" ref="X209:AM209">+IF(X$219=0,"",X222-W222)</f>
      </c>
      <c r="Y209" s="289">
        <f t="shared" si="80"/>
      </c>
      <c r="Z209" s="289">
        <f t="shared" si="80"/>
      </c>
      <c r="AA209" s="289">
        <f t="shared" si="80"/>
      </c>
      <c r="AB209" s="289">
        <f t="shared" si="80"/>
      </c>
      <c r="AC209" s="289">
        <f t="shared" si="80"/>
      </c>
      <c r="AD209" s="289">
        <f t="shared" si="80"/>
      </c>
      <c r="AE209" s="289">
        <f t="shared" si="80"/>
      </c>
      <c r="AF209" s="289">
        <f t="shared" si="80"/>
      </c>
      <c r="AG209" s="289">
        <f t="shared" si="80"/>
      </c>
      <c r="AH209" s="289">
        <f t="shared" si="80"/>
      </c>
      <c r="AI209" s="289">
        <f t="shared" si="80"/>
      </c>
      <c r="AJ209" s="289">
        <f t="shared" si="80"/>
      </c>
      <c r="AK209" s="289">
        <f t="shared" si="80"/>
      </c>
      <c r="AL209" s="289">
        <f t="shared" si="80"/>
      </c>
      <c r="AM209" s="290">
        <f t="shared" si="80"/>
      </c>
      <c r="AN209" s="250"/>
    </row>
    <row r="210" spans="1:40" ht="15" outlineLevel="2">
      <c r="A210" s="264"/>
      <c r="B210" s="264"/>
      <c r="C210" s="264"/>
      <c r="D210" s="264"/>
      <c r="E210" s="273"/>
      <c r="F210" s="362"/>
      <c r="G210" s="363"/>
      <c r="H210" s="363"/>
      <c r="I210" s="364"/>
      <c r="J210" s="288"/>
      <c r="K210" s="289"/>
      <c r="L210" s="289"/>
      <c r="M210" s="289"/>
      <c r="N210" s="289"/>
      <c r="O210" s="289"/>
      <c r="P210" s="289"/>
      <c r="Q210" s="289"/>
      <c r="R210" s="289"/>
      <c r="S210" s="289"/>
      <c r="T210" s="289"/>
      <c r="U210" s="289"/>
      <c r="V210" s="289"/>
      <c r="W210" s="289"/>
      <c r="X210" s="289">
        <f aca="true" t="shared" si="81" ref="X210:AM210">+IF(X$219=0,"",X223-W223)</f>
      </c>
      <c r="Y210" s="289">
        <f t="shared" si="81"/>
      </c>
      <c r="Z210" s="289">
        <f t="shared" si="81"/>
      </c>
      <c r="AA210" s="289">
        <f t="shared" si="81"/>
      </c>
      <c r="AB210" s="289">
        <f t="shared" si="81"/>
      </c>
      <c r="AC210" s="289">
        <f t="shared" si="81"/>
      </c>
      <c r="AD210" s="289">
        <f t="shared" si="81"/>
      </c>
      <c r="AE210" s="289">
        <f t="shared" si="81"/>
      </c>
      <c r="AF210" s="289">
        <f t="shared" si="81"/>
      </c>
      <c r="AG210" s="289">
        <f t="shared" si="81"/>
      </c>
      <c r="AH210" s="289">
        <f t="shared" si="81"/>
      </c>
      <c r="AI210" s="289">
        <f t="shared" si="81"/>
      </c>
      <c r="AJ210" s="289">
        <f t="shared" si="81"/>
      </c>
      <c r="AK210" s="289">
        <f t="shared" si="81"/>
      </c>
      <c r="AL210" s="289">
        <f t="shared" si="81"/>
      </c>
      <c r="AM210" s="290">
        <f t="shared" si="81"/>
      </c>
      <c r="AN210" s="250"/>
    </row>
    <row r="211" spans="1:40" ht="15" outlineLevel="2">
      <c r="A211" s="264"/>
      <c r="B211" s="264"/>
      <c r="C211" s="264"/>
      <c r="D211" s="264"/>
      <c r="E211" s="274"/>
      <c r="F211" s="365"/>
      <c r="G211" s="366"/>
      <c r="H211" s="366"/>
      <c r="I211" s="367"/>
      <c r="J211" s="291"/>
      <c r="K211" s="292"/>
      <c r="L211" s="292"/>
      <c r="M211" s="292"/>
      <c r="N211" s="292"/>
      <c r="O211" s="292"/>
      <c r="P211" s="292"/>
      <c r="Q211" s="292"/>
      <c r="R211" s="292"/>
      <c r="S211" s="292"/>
      <c r="T211" s="292"/>
      <c r="U211" s="292"/>
      <c r="V211" s="292"/>
      <c r="W211" s="292"/>
      <c r="X211" s="292">
        <f aca="true" t="shared" si="82" ref="X211:AM211">+IF(X$219=0,"",X224-W224)</f>
      </c>
      <c r="Y211" s="292">
        <f t="shared" si="82"/>
      </c>
      <c r="Z211" s="292">
        <f t="shared" si="82"/>
      </c>
      <c r="AA211" s="292">
        <f t="shared" si="82"/>
      </c>
      <c r="AB211" s="292">
        <f t="shared" si="82"/>
      </c>
      <c r="AC211" s="292">
        <f t="shared" si="82"/>
      </c>
      <c r="AD211" s="292">
        <f t="shared" si="82"/>
      </c>
      <c r="AE211" s="292">
        <f t="shared" si="82"/>
      </c>
      <c r="AF211" s="292">
        <f t="shared" si="82"/>
      </c>
      <c r="AG211" s="292">
        <f t="shared" si="82"/>
      </c>
      <c r="AH211" s="292">
        <f t="shared" si="82"/>
      </c>
      <c r="AI211" s="292">
        <f t="shared" si="82"/>
      </c>
      <c r="AJ211" s="292">
        <f t="shared" si="82"/>
      </c>
      <c r="AK211" s="292">
        <f t="shared" si="82"/>
      </c>
      <c r="AL211" s="292">
        <f t="shared" si="82"/>
      </c>
      <c r="AM211" s="293">
        <f t="shared" si="82"/>
      </c>
      <c r="AN211" s="250"/>
    </row>
    <row r="212" spans="1:40" ht="14.25" outlineLevel="2">
      <c r="A212" s="371"/>
      <c r="B212" s="371"/>
      <c r="C212" s="371"/>
      <c r="D212" s="371"/>
      <c r="E212" s="265"/>
      <c r="F212" s="353"/>
      <c r="G212" s="354"/>
      <c r="H212" s="354"/>
      <c r="I212" s="355"/>
      <c r="J212" s="379"/>
      <c r="K212" s="380"/>
      <c r="L212" s="380"/>
      <c r="M212" s="380"/>
      <c r="N212" s="380"/>
      <c r="O212" s="380"/>
      <c r="P212" s="380"/>
      <c r="Q212" s="380"/>
      <c r="R212" s="380"/>
      <c r="S212" s="380"/>
      <c r="T212" s="380"/>
      <c r="U212" s="380"/>
      <c r="V212" s="380"/>
      <c r="W212" s="380"/>
      <c r="X212" s="380">
        <f aca="true" t="shared" si="83" ref="X212:AM217">+IF(X$225=0,"",X225-W225)</f>
      </c>
      <c r="Y212" s="380">
        <f t="shared" si="83"/>
      </c>
      <c r="Z212" s="380">
        <f t="shared" si="83"/>
      </c>
      <c r="AA212" s="380">
        <f t="shared" si="83"/>
      </c>
      <c r="AB212" s="380">
        <f t="shared" si="83"/>
      </c>
      <c r="AC212" s="380">
        <f t="shared" si="83"/>
      </c>
      <c r="AD212" s="380">
        <f t="shared" si="83"/>
      </c>
      <c r="AE212" s="380">
        <f t="shared" si="83"/>
      </c>
      <c r="AF212" s="380">
        <f t="shared" si="83"/>
      </c>
      <c r="AG212" s="380">
        <f t="shared" si="83"/>
      </c>
      <c r="AH212" s="380">
        <f t="shared" si="83"/>
      </c>
      <c r="AI212" s="380">
        <f t="shared" si="83"/>
      </c>
      <c r="AJ212" s="380">
        <f t="shared" si="83"/>
      </c>
      <c r="AK212" s="380">
        <f t="shared" si="83"/>
      </c>
      <c r="AL212" s="380">
        <f t="shared" si="83"/>
      </c>
      <c r="AM212" s="381">
        <f t="shared" si="83"/>
      </c>
      <c r="AN212" s="375"/>
    </row>
    <row r="213" spans="1:40" ht="15" outlineLevel="2">
      <c r="A213" s="264"/>
      <c r="B213" s="264"/>
      <c r="C213" s="264"/>
      <c r="D213" s="264"/>
      <c r="E213" s="278"/>
      <c r="F213" s="362"/>
      <c r="G213" s="363"/>
      <c r="H213" s="363"/>
      <c r="I213" s="364"/>
      <c r="J213" s="288"/>
      <c r="K213" s="289"/>
      <c r="L213" s="289"/>
      <c r="M213" s="289"/>
      <c r="N213" s="289"/>
      <c r="O213" s="289"/>
      <c r="P213" s="289"/>
      <c r="Q213" s="289"/>
      <c r="R213" s="289"/>
      <c r="S213" s="289"/>
      <c r="T213" s="289"/>
      <c r="U213" s="289"/>
      <c r="V213" s="289"/>
      <c r="W213" s="289"/>
      <c r="X213" s="289">
        <f>+IF(X$225=0,"",X226-W226)</f>
      </c>
      <c r="Y213" s="289">
        <f>+IF(Y$225=0,"",Y226-X226)</f>
      </c>
      <c r="Z213" s="289">
        <f t="shared" si="83"/>
      </c>
      <c r="AA213" s="289">
        <f t="shared" si="83"/>
      </c>
      <c r="AB213" s="289">
        <f t="shared" si="83"/>
      </c>
      <c r="AC213" s="289">
        <f t="shared" si="83"/>
      </c>
      <c r="AD213" s="289">
        <f t="shared" si="83"/>
      </c>
      <c r="AE213" s="289">
        <f t="shared" si="83"/>
      </c>
      <c r="AF213" s="289">
        <f t="shared" si="83"/>
      </c>
      <c r="AG213" s="289">
        <f t="shared" si="83"/>
      </c>
      <c r="AH213" s="289">
        <f t="shared" si="83"/>
      </c>
      <c r="AI213" s="289">
        <f t="shared" si="83"/>
      </c>
      <c r="AJ213" s="289">
        <f t="shared" si="83"/>
      </c>
      <c r="AK213" s="289">
        <f t="shared" si="83"/>
      </c>
      <c r="AL213" s="289">
        <f t="shared" si="83"/>
      </c>
      <c r="AM213" s="290">
        <f t="shared" si="83"/>
      </c>
      <c r="AN213" s="250"/>
    </row>
    <row r="214" spans="1:40" ht="14.25" outlineLevel="2">
      <c r="A214" s="371"/>
      <c r="B214" s="371"/>
      <c r="C214" s="371"/>
      <c r="D214" s="371"/>
      <c r="E214" s="279"/>
      <c r="F214" s="368"/>
      <c r="G214" s="369"/>
      <c r="H214" s="369"/>
      <c r="I214" s="370"/>
      <c r="J214" s="382"/>
      <c r="K214" s="383"/>
      <c r="L214" s="383"/>
      <c r="M214" s="383"/>
      <c r="N214" s="383"/>
      <c r="O214" s="383"/>
      <c r="P214" s="383"/>
      <c r="Q214" s="383"/>
      <c r="R214" s="383"/>
      <c r="S214" s="383"/>
      <c r="T214" s="383"/>
      <c r="U214" s="383"/>
      <c r="V214" s="383"/>
      <c r="W214" s="383"/>
      <c r="X214" s="383">
        <f t="shared" si="83"/>
      </c>
      <c r="Y214" s="383">
        <f t="shared" si="83"/>
      </c>
      <c r="Z214" s="383">
        <f t="shared" si="83"/>
      </c>
      <c r="AA214" s="383">
        <f t="shared" si="83"/>
      </c>
      <c r="AB214" s="383">
        <f t="shared" si="83"/>
      </c>
      <c r="AC214" s="383">
        <f t="shared" si="83"/>
      </c>
      <c r="AD214" s="383">
        <f t="shared" si="83"/>
      </c>
      <c r="AE214" s="383">
        <f t="shared" si="83"/>
      </c>
      <c r="AF214" s="383">
        <f t="shared" si="83"/>
      </c>
      <c r="AG214" s="383">
        <f t="shared" si="83"/>
      </c>
      <c r="AH214" s="383">
        <f t="shared" si="83"/>
      </c>
      <c r="AI214" s="383">
        <f t="shared" si="83"/>
      </c>
      <c r="AJ214" s="383">
        <f t="shared" si="83"/>
      </c>
      <c r="AK214" s="383">
        <f t="shared" si="83"/>
      </c>
      <c r="AL214" s="383">
        <f t="shared" si="83"/>
      </c>
      <c r="AM214" s="384">
        <f t="shared" si="83"/>
      </c>
      <c r="AN214" s="375"/>
    </row>
    <row r="215" spans="1:40" ht="15" outlineLevel="2">
      <c r="A215" s="264"/>
      <c r="B215" s="264"/>
      <c r="C215" s="264"/>
      <c r="D215" s="264"/>
      <c r="E215" s="273"/>
      <c r="F215" s="362"/>
      <c r="G215" s="363"/>
      <c r="H215" s="363"/>
      <c r="I215" s="364"/>
      <c r="J215" s="288"/>
      <c r="K215" s="289"/>
      <c r="L215" s="289"/>
      <c r="M215" s="289"/>
      <c r="N215" s="289"/>
      <c r="O215" s="289"/>
      <c r="P215" s="289"/>
      <c r="Q215" s="289"/>
      <c r="R215" s="289"/>
      <c r="S215" s="289"/>
      <c r="T215" s="289"/>
      <c r="U215" s="289"/>
      <c r="V215" s="289"/>
      <c r="W215" s="289"/>
      <c r="X215" s="289">
        <f t="shared" si="83"/>
      </c>
      <c r="Y215" s="289">
        <f t="shared" si="83"/>
      </c>
      <c r="Z215" s="289">
        <f t="shared" si="83"/>
      </c>
      <c r="AA215" s="289">
        <f t="shared" si="83"/>
      </c>
      <c r="AB215" s="289">
        <f t="shared" si="83"/>
      </c>
      <c r="AC215" s="289">
        <f t="shared" si="83"/>
      </c>
      <c r="AD215" s="289">
        <f t="shared" si="83"/>
      </c>
      <c r="AE215" s="289">
        <f t="shared" si="83"/>
      </c>
      <c r="AF215" s="289">
        <f t="shared" si="83"/>
      </c>
      <c r="AG215" s="289">
        <f t="shared" si="83"/>
      </c>
      <c r="AH215" s="289">
        <f t="shared" si="83"/>
      </c>
      <c r="AI215" s="289">
        <f t="shared" si="83"/>
      </c>
      <c r="AJ215" s="289">
        <f t="shared" si="83"/>
      </c>
      <c r="AK215" s="289">
        <f t="shared" si="83"/>
      </c>
      <c r="AL215" s="289">
        <f t="shared" si="83"/>
      </c>
      <c r="AM215" s="290">
        <f t="shared" si="83"/>
      </c>
      <c r="AN215" s="250"/>
    </row>
    <row r="216" spans="1:40" ht="15" outlineLevel="2">
      <c r="A216" s="264"/>
      <c r="B216" s="264"/>
      <c r="C216" s="264"/>
      <c r="D216" s="264"/>
      <c r="E216" s="273"/>
      <c r="F216" s="362"/>
      <c r="G216" s="363"/>
      <c r="H216" s="363"/>
      <c r="I216" s="364"/>
      <c r="J216" s="288"/>
      <c r="K216" s="289"/>
      <c r="L216" s="289"/>
      <c r="M216" s="289"/>
      <c r="N216" s="289"/>
      <c r="O216" s="289"/>
      <c r="P216" s="289"/>
      <c r="Q216" s="289"/>
      <c r="R216" s="289"/>
      <c r="S216" s="289"/>
      <c r="T216" s="289"/>
      <c r="U216" s="289"/>
      <c r="V216" s="289"/>
      <c r="W216" s="289"/>
      <c r="X216" s="289">
        <f t="shared" si="83"/>
      </c>
      <c r="Y216" s="289">
        <f t="shared" si="83"/>
      </c>
      <c r="Z216" s="289">
        <f t="shared" si="83"/>
      </c>
      <c r="AA216" s="289">
        <f t="shared" si="83"/>
      </c>
      <c r="AB216" s="289">
        <f t="shared" si="83"/>
      </c>
      <c r="AC216" s="289">
        <f t="shared" si="83"/>
      </c>
      <c r="AD216" s="289">
        <f t="shared" si="83"/>
      </c>
      <c r="AE216" s="289">
        <f t="shared" si="83"/>
      </c>
      <c r="AF216" s="289">
        <f t="shared" si="83"/>
      </c>
      <c r="AG216" s="289">
        <f t="shared" si="83"/>
      </c>
      <c r="AH216" s="289">
        <f t="shared" si="83"/>
      </c>
      <c r="AI216" s="289">
        <f t="shared" si="83"/>
      </c>
      <c r="AJ216" s="289">
        <f t="shared" si="83"/>
      </c>
      <c r="AK216" s="289">
        <f t="shared" si="83"/>
      </c>
      <c r="AL216" s="289">
        <f t="shared" si="83"/>
      </c>
      <c r="AM216" s="290">
        <f t="shared" si="83"/>
      </c>
      <c r="AN216" s="250"/>
    </row>
    <row r="217" spans="1:40" ht="15" outlineLevel="2">
      <c r="A217" s="264"/>
      <c r="B217" s="264"/>
      <c r="C217" s="264"/>
      <c r="D217" s="264"/>
      <c r="E217" s="274"/>
      <c r="F217" s="365"/>
      <c r="G217" s="366"/>
      <c r="H217" s="366"/>
      <c r="I217" s="367"/>
      <c r="J217" s="291"/>
      <c r="K217" s="292"/>
      <c r="L217" s="292"/>
      <c r="M217" s="292"/>
      <c r="N217" s="292"/>
      <c r="O217" s="292"/>
      <c r="P217" s="292"/>
      <c r="Q217" s="292"/>
      <c r="R217" s="292"/>
      <c r="S217" s="292"/>
      <c r="T217" s="292"/>
      <c r="U217" s="292"/>
      <c r="V217" s="292"/>
      <c r="W217" s="292"/>
      <c r="X217" s="292">
        <f t="shared" si="83"/>
      </c>
      <c r="Y217" s="292">
        <f t="shared" si="83"/>
      </c>
      <c r="Z217" s="292">
        <f t="shared" si="83"/>
      </c>
      <c r="AA217" s="292">
        <f t="shared" si="83"/>
      </c>
      <c r="AB217" s="292">
        <f t="shared" si="83"/>
      </c>
      <c r="AC217" s="292">
        <f t="shared" si="83"/>
      </c>
      <c r="AD217" s="292">
        <f t="shared" si="83"/>
      </c>
      <c r="AE217" s="292">
        <f t="shared" si="83"/>
      </c>
      <c r="AF217" s="292">
        <f t="shared" si="83"/>
      </c>
      <c r="AG217" s="292">
        <f t="shared" si="83"/>
      </c>
      <c r="AH217" s="292">
        <f t="shared" si="83"/>
      </c>
      <c r="AI217" s="292">
        <f t="shared" si="83"/>
      </c>
      <c r="AJ217" s="292">
        <f t="shared" si="83"/>
      </c>
      <c r="AK217" s="292">
        <f t="shared" si="83"/>
      </c>
      <c r="AL217" s="292">
        <f t="shared" si="83"/>
      </c>
      <c r="AM217" s="293">
        <f t="shared" si="83"/>
      </c>
      <c r="AN217" s="250"/>
    </row>
    <row r="218" spans="1:40" ht="15" outlineLevel="1">
      <c r="A218" s="264"/>
      <c r="B218" s="264"/>
      <c r="C218" s="264"/>
      <c r="D218" s="264"/>
      <c r="E218" s="422"/>
      <c r="F218" s="283"/>
      <c r="G218" s="283"/>
      <c r="H218" s="283"/>
      <c r="I218" s="283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 s="284"/>
      <c r="U218" s="284"/>
      <c r="V218" s="284"/>
      <c r="W218" s="284"/>
      <c r="X218" s="284"/>
      <c r="Y218" s="284"/>
      <c r="Z218" s="284"/>
      <c r="AA218" s="284"/>
      <c r="AB218" s="284"/>
      <c r="AC218" s="284"/>
      <c r="AD218" s="284"/>
      <c r="AE218" s="284"/>
      <c r="AF218" s="284"/>
      <c r="AG218" s="284"/>
      <c r="AH218" s="284"/>
      <c r="AI218" s="284"/>
      <c r="AJ218" s="284"/>
      <c r="AK218" s="284"/>
      <c r="AL218" s="284"/>
      <c r="AM218" s="284"/>
      <c r="AN218" s="250"/>
    </row>
    <row r="219" spans="1:40" ht="14.25" outlineLevel="2">
      <c r="A219" s="371"/>
      <c r="B219" s="371"/>
      <c r="C219" s="371"/>
      <c r="D219" s="371"/>
      <c r="E219" s="265"/>
      <c r="F219" s="285"/>
      <c r="G219" s="286"/>
      <c r="H219" s="286"/>
      <c r="I219" s="287"/>
      <c r="J219" s="379"/>
      <c r="K219" s="380"/>
      <c r="L219" s="380"/>
      <c r="M219" s="380"/>
      <c r="N219" s="380"/>
      <c r="O219" s="380"/>
      <c r="P219" s="380"/>
      <c r="Q219" s="380"/>
      <c r="R219" s="380"/>
      <c r="S219" s="380"/>
      <c r="T219" s="380"/>
      <c r="U219" s="380"/>
      <c r="V219" s="380"/>
      <c r="W219" s="380"/>
      <c r="X219" s="380">
        <f aca="true" t="shared" si="84" ref="X219:AL219">+X10</f>
        <v>0</v>
      </c>
      <c r="Y219" s="380">
        <f t="shared" si="84"/>
        <v>0</v>
      </c>
      <c r="Z219" s="380">
        <f t="shared" si="84"/>
        <v>0</v>
      </c>
      <c r="AA219" s="380">
        <f t="shared" si="84"/>
        <v>0</v>
      </c>
      <c r="AB219" s="380">
        <f t="shared" si="84"/>
        <v>0</v>
      </c>
      <c r="AC219" s="380">
        <f t="shared" si="84"/>
        <v>0</v>
      </c>
      <c r="AD219" s="380">
        <f t="shared" si="84"/>
        <v>0</v>
      </c>
      <c r="AE219" s="380">
        <f t="shared" si="84"/>
        <v>0</v>
      </c>
      <c r="AF219" s="380">
        <f t="shared" si="84"/>
        <v>0</v>
      </c>
      <c r="AG219" s="380">
        <f t="shared" si="84"/>
        <v>0</v>
      </c>
      <c r="AH219" s="380">
        <f t="shared" si="84"/>
        <v>0</v>
      </c>
      <c r="AI219" s="380">
        <f t="shared" si="84"/>
        <v>0</v>
      </c>
      <c r="AJ219" s="380">
        <f t="shared" si="84"/>
        <v>0</v>
      </c>
      <c r="AK219" s="380">
        <f t="shared" si="84"/>
        <v>0</v>
      </c>
      <c r="AL219" s="380">
        <f t="shared" si="84"/>
        <v>0</v>
      </c>
      <c r="AM219" s="381">
        <f>+AM10</f>
        <v>0</v>
      </c>
      <c r="AN219" s="375"/>
    </row>
    <row r="220" spans="1:40" ht="15" outlineLevel="2">
      <c r="A220" s="264"/>
      <c r="B220" s="264"/>
      <c r="C220" s="264"/>
      <c r="D220" s="264"/>
      <c r="E220" s="269"/>
      <c r="F220" s="294"/>
      <c r="G220" s="295"/>
      <c r="H220" s="295"/>
      <c r="I220" s="296"/>
      <c r="J220" s="288"/>
      <c r="K220" s="289"/>
      <c r="L220" s="289"/>
      <c r="M220" s="289"/>
      <c r="N220" s="289"/>
      <c r="O220" s="289"/>
      <c r="P220" s="289"/>
      <c r="Q220" s="289"/>
      <c r="R220" s="289"/>
      <c r="S220" s="289"/>
      <c r="T220" s="289"/>
      <c r="U220" s="289"/>
      <c r="V220" s="289"/>
      <c r="W220" s="289"/>
      <c r="X220" s="289">
        <f aca="true" t="shared" si="85" ref="X220:AM220">+(X10-X77-X80)</f>
        <v>0</v>
      </c>
      <c r="Y220" s="289">
        <f t="shared" si="85"/>
        <v>0</v>
      </c>
      <c r="Z220" s="289">
        <f t="shared" si="85"/>
        <v>0</v>
      </c>
      <c r="AA220" s="289">
        <f t="shared" si="85"/>
        <v>0</v>
      </c>
      <c r="AB220" s="289">
        <f t="shared" si="85"/>
        <v>0</v>
      </c>
      <c r="AC220" s="289">
        <f t="shared" si="85"/>
        <v>0</v>
      </c>
      <c r="AD220" s="289">
        <f t="shared" si="85"/>
        <v>0</v>
      </c>
      <c r="AE220" s="289">
        <f t="shared" si="85"/>
        <v>0</v>
      </c>
      <c r="AF220" s="289">
        <f t="shared" si="85"/>
        <v>0</v>
      </c>
      <c r="AG220" s="289">
        <f t="shared" si="85"/>
        <v>0</v>
      </c>
      <c r="AH220" s="289">
        <f t="shared" si="85"/>
        <v>0</v>
      </c>
      <c r="AI220" s="289">
        <f t="shared" si="85"/>
        <v>0</v>
      </c>
      <c r="AJ220" s="289">
        <f t="shared" si="85"/>
        <v>0</v>
      </c>
      <c r="AK220" s="289">
        <f t="shared" si="85"/>
        <v>0</v>
      </c>
      <c r="AL220" s="289">
        <f t="shared" si="85"/>
        <v>0</v>
      </c>
      <c r="AM220" s="290">
        <f t="shared" si="85"/>
        <v>0</v>
      </c>
      <c r="AN220" s="250"/>
    </row>
    <row r="221" spans="1:40" ht="15" outlineLevel="2">
      <c r="A221" s="264"/>
      <c r="B221" s="264"/>
      <c r="C221" s="264"/>
      <c r="D221" s="264"/>
      <c r="E221" s="273"/>
      <c r="F221" s="294"/>
      <c r="G221" s="295"/>
      <c r="H221" s="295"/>
      <c r="I221" s="296"/>
      <c r="J221" s="288"/>
      <c r="K221" s="289"/>
      <c r="L221" s="289"/>
      <c r="M221" s="289"/>
      <c r="N221" s="289"/>
      <c r="O221" s="289"/>
      <c r="P221" s="289"/>
      <c r="Q221" s="289"/>
      <c r="R221" s="289"/>
      <c r="S221" s="289"/>
      <c r="T221" s="289"/>
      <c r="U221" s="289"/>
      <c r="V221" s="289"/>
      <c r="W221" s="289"/>
      <c r="X221" s="289">
        <f aca="true" t="shared" si="86" ref="X221:AM221">+X11-X77</f>
        <v>0</v>
      </c>
      <c r="Y221" s="289">
        <f t="shared" si="86"/>
        <v>0</v>
      </c>
      <c r="Z221" s="289">
        <f t="shared" si="86"/>
        <v>0</v>
      </c>
      <c r="AA221" s="289">
        <f t="shared" si="86"/>
        <v>0</v>
      </c>
      <c r="AB221" s="289">
        <f t="shared" si="86"/>
        <v>0</v>
      </c>
      <c r="AC221" s="289">
        <f t="shared" si="86"/>
        <v>0</v>
      </c>
      <c r="AD221" s="289">
        <f t="shared" si="86"/>
        <v>0</v>
      </c>
      <c r="AE221" s="289">
        <f t="shared" si="86"/>
        <v>0</v>
      </c>
      <c r="AF221" s="289">
        <f t="shared" si="86"/>
        <v>0</v>
      </c>
      <c r="AG221" s="289">
        <f t="shared" si="86"/>
        <v>0</v>
      </c>
      <c r="AH221" s="289">
        <f t="shared" si="86"/>
        <v>0</v>
      </c>
      <c r="AI221" s="289">
        <f t="shared" si="86"/>
        <v>0</v>
      </c>
      <c r="AJ221" s="289">
        <f t="shared" si="86"/>
        <v>0</v>
      </c>
      <c r="AK221" s="289">
        <f t="shared" si="86"/>
        <v>0</v>
      </c>
      <c r="AL221" s="289">
        <f t="shared" si="86"/>
        <v>0</v>
      </c>
      <c r="AM221" s="290">
        <f t="shared" si="86"/>
        <v>0</v>
      </c>
      <c r="AN221" s="250"/>
    </row>
    <row r="222" spans="1:40" ht="15" outlineLevel="2">
      <c r="A222" s="264"/>
      <c r="B222" s="264"/>
      <c r="C222" s="264"/>
      <c r="D222" s="264"/>
      <c r="E222" s="273"/>
      <c r="F222" s="294"/>
      <c r="G222" s="295"/>
      <c r="H222" s="295"/>
      <c r="I222" s="296"/>
      <c r="J222" s="288"/>
      <c r="K222" s="289"/>
      <c r="L222" s="289"/>
      <c r="M222" s="289"/>
      <c r="N222" s="289"/>
      <c r="O222" s="289"/>
      <c r="P222" s="289"/>
      <c r="Q222" s="289"/>
      <c r="R222" s="289"/>
      <c r="S222" s="289"/>
      <c r="T222" s="289"/>
      <c r="U222" s="289"/>
      <c r="V222" s="289"/>
      <c r="W222" s="289"/>
      <c r="X222" s="289">
        <f aca="true" t="shared" si="87" ref="X222:AM222">+X18-X80</f>
        <v>0</v>
      </c>
      <c r="Y222" s="289">
        <f t="shared" si="87"/>
        <v>0</v>
      </c>
      <c r="Z222" s="289">
        <f t="shared" si="87"/>
        <v>0</v>
      </c>
      <c r="AA222" s="289">
        <f t="shared" si="87"/>
        <v>0</v>
      </c>
      <c r="AB222" s="289">
        <f t="shared" si="87"/>
        <v>0</v>
      </c>
      <c r="AC222" s="289">
        <f t="shared" si="87"/>
        <v>0</v>
      </c>
      <c r="AD222" s="289">
        <f t="shared" si="87"/>
        <v>0</v>
      </c>
      <c r="AE222" s="289">
        <f t="shared" si="87"/>
        <v>0</v>
      </c>
      <c r="AF222" s="289">
        <f t="shared" si="87"/>
        <v>0</v>
      </c>
      <c r="AG222" s="289">
        <f t="shared" si="87"/>
        <v>0</v>
      </c>
      <c r="AH222" s="289">
        <f t="shared" si="87"/>
        <v>0</v>
      </c>
      <c r="AI222" s="289">
        <f t="shared" si="87"/>
        <v>0</v>
      </c>
      <c r="AJ222" s="289">
        <f t="shared" si="87"/>
        <v>0</v>
      </c>
      <c r="AK222" s="289">
        <f t="shared" si="87"/>
        <v>0</v>
      </c>
      <c r="AL222" s="289">
        <f t="shared" si="87"/>
        <v>0</v>
      </c>
      <c r="AM222" s="290">
        <f t="shared" si="87"/>
        <v>0</v>
      </c>
      <c r="AN222" s="250"/>
    </row>
    <row r="223" spans="1:40" ht="15" outlineLevel="2">
      <c r="A223" s="264"/>
      <c r="B223" s="264"/>
      <c r="C223" s="264"/>
      <c r="D223" s="264"/>
      <c r="E223" s="273"/>
      <c r="F223" s="294"/>
      <c r="G223" s="295"/>
      <c r="H223" s="295"/>
      <c r="I223" s="296"/>
      <c r="J223" s="288"/>
      <c r="K223" s="289"/>
      <c r="L223" s="289"/>
      <c r="M223" s="289"/>
      <c r="N223" s="289"/>
      <c r="O223" s="289"/>
      <c r="P223" s="289"/>
      <c r="Q223" s="289"/>
      <c r="R223" s="289"/>
      <c r="S223" s="289"/>
      <c r="T223" s="289"/>
      <c r="U223" s="289"/>
      <c r="V223" s="289"/>
      <c r="W223" s="289"/>
      <c r="X223" s="289">
        <f aca="true" t="shared" si="88" ref="X223:AM223">+X18-X80-X19</f>
        <v>0</v>
      </c>
      <c r="Y223" s="289">
        <f t="shared" si="88"/>
        <v>0</v>
      </c>
      <c r="Z223" s="289">
        <f t="shared" si="88"/>
        <v>0</v>
      </c>
      <c r="AA223" s="289">
        <f t="shared" si="88"/>
        <v>0</v>
      </c>
      <c r="AB223" s="289">
        <f t="shared" si="88"/>
        <v>0</v>
      </c>
      <c r="AC223" s="289">
        <f t="shared" si="88"/>
        <v>0</v>
      </c>
      <c r="AD223" s="289">
        <f t="shared" si="88"/>
        <v>0</v>
      </c>
      <c r="AE223" s="289">
        <f t="shared" si="88"/>
        <v>0</v>
      </c>
      <c r="AF223" s="289">
        <f t="shared" si="88"/>
        <v>0</v>
      </c>
      <c r="AG223" s="289">
        <f t="shared" si="88"/>
        <v>0</v>
      </c>
      <c r="AH223" s="289">
        <f t="shared" si="88"/>
        <v>0</v>
      </c>
      <c r="AI223" s="289">
        <f t="shared" si="88"/>
        <v>0</v>
      </c>
      <c r="AJ223" s="289">
        <f t="shared" si="88"/>
        <v>0</v>
      </c>
      <c r="AK223" s="289">
        <f t="shared" si="88"/>
        <v>0</v>
      </c>
      <c r="AL223" s="289">
        <f t="shared" si="88"/>
        <v>0</v>
      </c>
      <c r="AM223" s="290">
        <f t="shared" si="88"/>
        <v>0</v>
      </c>
      <c r="AN223" s="250"/>
    </row>
    <row r="224" spans="1:40" ht="15" outlineLevel="2">
      <c r="A224" s="264"/>
      <c r="B224" s="264"/>
      <c r="C224" s="264"/>
      <c r="D224" s="264"/>
      <c r="E224" s="274"/>
      <c r="F224" s="297"/>
      <c r="G224" s="298"/>
      <c r="H224" s="298"/>
      <c r="I224" s="299"/>
      <c r="J224" s="291"/>
      <c r="K224" s="292"/>
      <c r="L224" s="292"/>
      <c r="M224" s="292"/>
      <c r="N224" s="292"/>
      <c r="O224" s="292"/>
      <c r="P224" s="292"/>
      <c r="Q224" s="292"/>
      <c r="R224" s="292"/>
      <c r="S224" s="292"/>
      <c r="T224" s="292"/>
      <c r="U224" s="292"/>
      <c r="V224" s="292"/>
      <c r="W224" s="292"/>
      <c r="X224" s="292">
        <f aca="true" t="shared" si="89" ref="X224:AM224">+X19</f>
        <v>0</v>
      </c>
      <c r="Y224" s="292">
        <f t="shared" si="89"/>
        <v>0</v>
      </c>
      <c r="Z224" s="292">
        <f t="shared" si="89"/>
        <v>0</v>
      </c>
      <c r="AA224" s="292">
        <f t="shared" si="89"/>
        <v>0</v>
      </c>
      <c r="AB224" s="292">
        <f t="shared" si="89"/>
        <v>0</v>
      </c>
      <c r="AC224" s="292">
        <f t="shared" si="89"/>
        <v>0</v>
      </c>
      <c r="AD224" s="292">
        <f t="shared" si="89"/>
        <v>0</v>
      </c>
      <c r="AE224" s="292">
        <f t="shared" si="89"/>
        <v>0</v>
      </c>
      <c r="AF224" s="292">
        <f t="shared" si="89"/>
        <v>0</v>
      </c>
      <c r="AG224" s="292">
        <f t="shared" si="89"/>
        <v>0</v>
      </c>
      <c r="AH224" s="292">
        <f t="shared" si="89"/>
        <v>0</v>
      </c>
      <c r="AI224" s="292">
        <f t="shared" si="89"/>
        <v>0</v>
      </c>
      <c r="AJ224" s="292">
        <f t="shared" si="89"/>
        <v>0</v>
      </c>
      <c r="AK224" s="292">
        <f t="shared" si="89"/>
        <v>0</v>
      </c>
      <c r="AL224" s="292">
        <f t="shared" si="89"/>
        <v>0</v>
      </c>
      <c r="AM224" s="293">
        <f t="shared" si="89"/>
        <v>0</v>
      </c>
      <c r="AN224" s="250"/>
    </row>
    <row r="225" spans="1:40" ht="14.25" outlineLevel="2">
      <c r="A225" s="371"/>
      <c r="B225" s="371"/>
      <c r="C225" s="371"/>
      <c r="D225" s="371"/>
      <c r="E225" s="265"/>
      <c r="F225" s="285"/>
      <c r="G225" s="286"/>
      <c r="H225" s="286"/>
      <c r="I225" s="287"/>
      <c r="J225" s="379"/>
      <c r="K225" s="380"/>
      <c r="L225" s="380"/>
      <c r="M225" s="380"/>
      <c r="N225" s="380"/>
      <c r="O225" s="380"/>
      <c r="P225" s="380"/>
      <c r="Q225" s="380"/>
      <c r="R225" s="380"/>
      <c r="S225" s="380"/>
      <c r="T225" s="380"/>
      <c r="U225" s="380"/>
      <c r="V225" s="380"/>
      <c r="W225" s="380"/>
      <c r="X225" s="380">
        <f aca="true" t="shared" si="90" ref="X225:AM225">+X21</f>
        <v>0</v>
      </c>
      <c r="Y225" s="380">
        <f t="shared" si="90"/>
        <v>0</v>
      </c>
      <c r="Z225" s="380">
        <f t="shared" si="90"/>
        <v>0</v>
      </c>
      <c r="AA225" s="380">
        <f t="shared" si="90"/>
        <v>0</v>
      </c>
      <c r="AB225" s="380">
        <f t="shared" si="90"/>
        <v>0</v>
      </c>
      <c r="AC225" s="380">
        <f t="shared" si="90"/>
        <v>0</v>
      </c>
      <c r="AD225" s="380">
        <f t="shared" si="90"/>
        <v>0</v>
      </c>
      <c r="AE225" s="380">
        <f t="shared" si="90"/>
        <v>0</v>
      </c>
      <c r="AF225" s="380">
        <f t="shared" si="90"/>
        <v>0</v>
      </c>
      <c r="AG225" s="380">
        <f t="shared" si="90"/>
        <v>0</v>
      </c>
      <c r="AH225" s="380">
        <f t="shared" si="90"/>
        <v>0</v>
      </c>
      <c r="AI225" s="380">
        <f t="shared" si="90"/>
        <v>0</v>
      </c>
      <c r="AJ225" s="380">
        <f t="shared" si="90"/>
        <v>0</v>
      </c>
      <c r="AK225" s="380">
        <f t="shared" si="90"/>
        <v>0</v>
      </c>
      <c r="AL225" s="380">
        <f t="shared" si="90"/>
        <v>0</v>
      </c>
      <c r="AM225" s="381">
        <f t="shared" si="90"/>
        <v>0</v>
      </c>
      <c r="AN225" s="375"/>
    </row>
    <row r="226" spans="1:40" ht="15" outlineLevel="2">
      <c r="A226" s="264"/>
      <c r="B226" s="264"/>
      <c r="C226" s="264"/>
      <c r="D226" s="264"/>
      <c r="E226" s="278"/>
      <c r="F226" s="294"/>
      <c r="G226" s="295"/>
      <c r="H226" s="295"/>
      <c r="I226" s="296"/>
      <c r="J226" s="288"/>
      <c r="K226" s="289"/>
      <c r="L226" s="289"/>
      <c r="M226" s="289"/>
      <c r="N226" s="289"/>
      <c r="O226" s="289"/>
      <c r="P226" s="289"/>
      <c r="Q226" s="289"/>
      <c r="R226" s="289"/>
      <c r="S226" s="289"/>
      <c r="T226" s="289"/>
      <c r="U226" s="289"/>
      <c r="V226" s="289"/>
      <c r="W226" s="289"/>
      <c r="X226" s="289">
        <f aca="true" t="shared" si="91" ref="X226:AM226">+X21-X83-X86</f>
        <v>0</v>
      </c>
      <c r="Y226" s="289">
        <f t="shared" si="91"/>
        <v>0</v>
      </c>
      <c r="Z226" s="289">
        <f t="shared" si="91"/>
        <v>0</v>
      </c>
      <c r="AA226" s="289">
        <f t="shared" si="91"/>
        <v>0</v>
      </c>
      <c r="AB226" s="289">
        <f t="shared" si="91"/>
        <v>0</v>
      </c>
      <c r="AC226" s="289">
        <f t="shared" si="91"/>
        <v>0</v>
      </c>
      <c r="AD226" s="289">
        <f t="shared" si="91"/>
        <v>0</v>
      </c>
      <c r="AE226" s="289">
        <f t="shared" si="91"/>
        <v>0</v>
      </c>
      <c r="AF226" s="289">
        <f t="shared" si="91"/>
        <v>0</v>
      </c>
      <c r="AG226" s="289">
        <f t="shared" si="91"/>
        <v>0</v>
      </c>
      <c r="AH226" s="289">
        <f t="shared" si="91"/>
        <v>0</v>
      </c>
      <c r="AI226" s="289">
        <f t="shared" si="91"/>
        <v>0</v>
      </c>
      <c r="AJ226" s="289">
        <f t="shared" si="91"/>
        <v>0</v>
      </c>
      <c r="AK226" s="289">
        <f t="shared" si="91"/>
        <v>0</v>
      </c>
      <c r="AL226" s="289">
        <f t="shared" si="91"/>
        <v>0</v>
      </c>
      <c r="AM226" s="290">
        <f t="shared" si="91"/>
        <v>0</v>
      </c>
      <c r="AN226" s="250"/>
    </row>
    <row r="227" spans="1:40" ht="14.25" outlineLevel="2">
      <c r="A227" s="371"/>
      <c r="B227" s="371"/>
      <c r="C227" s="371"/>
      <c r="D227" s="371"/>
      <c r="E227" s="279"/>
      <c r="F227" s="356"/>
      <c r="G227" s="357"/>
      <c r="H227" s="357"/>
      <c r="I227" s="358"/>
      <c r="J227" s="382"/>
      <c r="K227" s="383"/>
      <c r="L227" s="383"/>
      <c r="M227" s="383"/>
      <c r="N227" s="383"/>
      <c r="O227" s="383"/>
      <c r="P227" s="383"/>
      <c r="Q227" s="383"/>
      <c r="R227" s="383"/>
      <c r="S227" s="383"/>
      <c r="T227" s="383"/>
      <c r="U227" s="383"/>
      <c r="V227" s="383"/>
      <c r="W227" s="383"/>
      <c r="X227" s="383">
        <f aca="true" t="shared" si="92" ref="X227:AM227">+X22</f>
        <v>0</v>
      </c>
      <c r="Y227" s="383">
        <f t="shared" si="92"/>
        <v>0</v>
      </c>
      <c r="Z227" s="383">
        <f t="shared" si="92"/>
        <v>0</v>
      </c>
      <c r="AA227" s="383">
        <f t="shared" si="92"/>
        <v>0</v>
      </c>
      <c r="AB227" s="383">
        <f t="shared" si="92"/>
        <v>0</v>
      </c>
      <c r="AC227" s="383">
        <f t="shared" si="92"/>
        <v>0</v>
      </c>
      <c r="AD227" s="383">
        <f t="shared" si="92"/>
        <v>0</v>
      </c>
      <c r="AE227" s="383">
        <f t="shared" si="92"/>
        <v>0</v>
      </c>
      <c r="AF227" s="383">
        <f t="shared" si="92"/>
        <v>0</v>
      </c>
      <c r="AG227" s="383">
        <f t="shared" si="92"/>
        <v>0</v>
      </c>
      <c r="AH227" s="383">
        <f t="shared" si="92"/>
        <v>0</v>
      </c>
      <c r="AI227" s="383">
        <f t="shared" si="92"/>
        <v>0</v>
      </c>
      <c r="AJ227" s="383">
        <f t="shared" si="92"/>
        <v>0</v>
      </c>
      <c r="AK227" s="383">
        <f t="shared" si="92"/>
        <v>0</v>
      </c>
      <c r="AL227" s="383">
        <f t="shared" si="92"/>
        <v>0</v>
      </c>
      <c r="AM227" s="384">
        <f t="shared" si="92"/>
        <v>0</v>
      </c>
      <c r="AN227" s="375"/>
    </row>
    <row r="228" spans="1:40" ht="15" outlineLevel="2">
      <c r="A228" s="264"/>
      <c r="B228" s="264"/>
      <c r="C228" s="264"/>
      <c r="D228" s="264"/>
      <c r="E228" s="273"/>
      <c r="F228" s="294"/>
      <c r="G228" s="295"/>
      <c r="H228" s="295"/>
      <c r="I228" s="296"/>
      <c r="J228" s="288"/>
      <c r="K228" s="289"/>
      <c r="L228" s="289"/>
      <c r="M228" s="289"/>
      <c r="N228" s="289"/>
      <c r="O228" s="289"/>
      <c r="P228" s="289"/>
      <c r="Q228" s="289"/>
      <c r="R228" s="289"/>
      <c r="S228" s="289"/>
      <c r="T228" s="289"/>
      <c r="U228" s="289"/>
      <c r="V228" s="289"/>
      <c r="W228" s="289"/>
      <c r="X228" s="289">
        <f aca="true" t="shared" si="93" ref="X228:AM228">+X22-X83</f>
        <v>0</v>
      </c>
      <c r="Y228" s="289">
        <f t="shared" si="93"/>
        <v>0</v>
      </c>
      <c r="Z228" s="289">
        <f t="shared" si="93"/>
        <v>0</v>
      </c>
      <c r="AA228" s="289">
        <f t="shared" si="93"/>
        <v>0</v>
      </c>
      <c r="AB228" s="289">
        <f t="shared" si="93"/>
        <v>0</v>
      </c>
      <c r="AC228" s="289">
        <f t="shared" si="93"/>
        <v>0</v>
      </c>
      <c r="AD228" s="289">
        <f t="shared" si="93"/>
        <v>0</v>
      </c>
      <c r="AE228" s="289">
        <f t="shared" si="93"/>
        <v>0</v>
      </c>
      <c r="AF228" s="289">
        <f t="shared" si="93"/>
        <v>0</v>
      </c>
      <c r="AG228" s="289">
        <f t="shared" si="93"/>
        <v>0</v>
      </c>
      <c r="AH228" s="289">
        <f t="shared" si="93"/>
        <v>0</v>
      </c>
      <c r="AI228" s="289">
        <f t="shared" si="93"/>
        <v>0</v>
      </c>
      <c r="AJ228" s="289">
        <f t="shared" si="93"/>
        <v>0</v>
      </c>
      <c r="AK228" s="289">
        <f t="shared" si="93"/>
        <v>0</v>
      </c>
      <c r="AL228" s="289">
        <f t="shared" si="93"/>
        <v>0</v>
      </c>
      <c r="AM228" s="290">
        <f t="shared" si="93"/>
        <v>0</v>
      </c>
      <c r="AN228" s="250"/>
    </row>
    <row r="229" spans="1:40" ht="15" outlineLevel="2">
      <c r="A229" s="264"/>
      <c r="B229" s="264"/>
      <c r="C229" s="264"/>
      <c r="D229" s="264"/>
      <c r="E229" s="273"/>
      <c r="F229" s="294"/>
      <c r="G229" s="295"/>
      <c r="H229" s="295"/>
      <c r="I229" s="296"/>
      <c r="J229" s="288"/>
      <c r="K229" s="289"/>
      <c r="L229" s="289"/>
      <c r="M229" s="289"/>
      <c r="N229" s="289"/>
      <c r="O229" s="289"/>
      <c r="P229" s="289"/>
      <c r="Q229" s="289"/>
      <c r="R229" s="289"/>
      <c r="S229" s="289"/>
      <c r="T229" s="289"/>
      <c r="U229" s="289"/>
      <c r="V229" s="289"/>
      <c r="W229" s="289"/>
      <c r="X229" s="289">
        <f aca="true" t="shared" si="94" ref="X229:AM229">+X68</f>
        <v>0</v>
      </c>
      <c r="Y229" s="289">
        <f t="shared" si="94"/>
        <v>0</v>
      </c>
      <c r="Z229" s="289">
        <f t="shared" si="94"/>
        <v>0</v>
      </c>
      <c r="AA229" s="289">
        <f t="shared" si="94"/>
        <v>0</v>
      </c>
      <c r="AB229" s="289">
        <f t="shared" si="94"/>
        <v>0</v>
      </c>
      <c r="AC229" s="289">
        <f t="shared" si="94"/>
        <v>0</v>
      </c>
      <c r="AD229" s="289">
        <f t="shared" si="94"/>
        <v>0</v>
      </c>
      <c r="AE229" s="289">
        <f t="shared" si="94"/>
        <v>0</v>
      </c>
      <c r="AF229" s="289">
        <f t="shared" si="94"/>
        <v>0</v>
      </c>
      <c r="AG229" s="289">
        <f t="shared" si="94"/>
        <v>0</v>
      </c>
      <c r="AH229" s="289">
        <f t="shared" si="94"/>
        <v>0</v>
      </c>
      <c r="AI229" s="289">
        <f t="shared" si="94"/>
        <v>0</v>
      </c>
      <c r="AJ229" s="289">
        <f t="shared" si="94"/>
        <v>0</v>
      </c>
      <c r="AK229" s="289">
        <f t="shared" si="94"/>
        <v>0</v>
      </c>
      <c r="AL229" s="289">
        <f t="shared" si="94"/>
        <v>0</v>
      </c>
      <c r="AM229" s="290">
        <f t="shared" si="94"/>
        <v>0</v>
      </c>
      <c r="AN229" s="250"/>
    </row>
    <row r="230" spans="1:40" ht="15" outlineLevel="2">
      <c r="A230" s="264"/>
      <c r="B230" s="264"/>
      <c r="C230" s="264"/>
      <c r="D230" s="264"/>
      <c r="E230" s="274"/>
      <c r="F230" s="297"/>
      <c r="G230" s="298"/>
      <c r="H230" s="298"/>
      <c r="I230" s="299"/>
      <c r="J230" s="291"/>
      <c r="K230" s="292"/>
      <c r="L230" s="292"/>
      <c r="M230" s="292"/>
      <c r="N230" s="292"/>
      <c r="O230" s="292"/>
      <c r="P230" s="292"/>
      <c r="Q230" s="292"/>
      <c r="R230" s="292"/>
      <c r="S230" s="292"/>
      <c r="T230" s="292"/>
      <c r="U230" s="292"/>
      <c r="V230" s="292"/>
      <c r="W230" s="292"/>
      <c r="X230" s="292">
        <f aca="true" t="shared" si="95" ref="X230:AM230">+X22-X23-X26-X68-X69</f>
        <v>0</v>
      </c>
      <c r="Y230" s="292">
        <f t="shared" si="95"/>
        <v>0</v>
      </c>
      <c r="Z230" s="292">
        <f t="shared" si="95"/>
        <v>0</v>
      </c>
      <c r="AA230" s="292">
        <f t="shared" si="95"/>
        <v>0</v>
      </c>
      <c r="AB230" s="292">
        <f t="shared" si="95"/>
        <v>0</v>
      </c>
      <c r="AC230" s="292">
        <f t="shared" si="95"/>
        <v>0</v>
      </c>
      <c r="AD230" s="292">
        <f t="shared" si="95"/>
        <v>0</v>
      </c>
      <c r="AE230" s="292">
        <f t="shared" si="95"/>
        <v>0</v>
      </c>
      <c r="AF230" s="292">
        <f t="shared" si="95"/>
        <v>0</v>
      </c>
      <c r="AG230" s="292">
        <f t="shared" si="95"/>
        <v>0</v>
      </c>
      <c r="AH230" s="292">
        <f t="shared" si="95"/>
        <v>0</v>
      </c>
      <c r="AI230" s="292">
        <f t="shared" si="95"/>
        <v>0</v>
      </c>
      <c r="AJ230" s="292">
        <f t="shared" si="95"/>
        <v>0</v>
      </c>
      <c r="AK230" s="292">
        <f t="shared" si="95"/>
        <v>0</v>
      </c>
      <c r="AL230" s="292">
        <f t="shared" si="95"/>
        <v>0</v>
      </c>
      <c r="AM230" s="293">
        <f t="shared" si="95"/>
        <v>0</v>
      </c>
      <c r="AN230" s="250"/>
    </row>
    <row r="231" spans="5:39" ht="14.25" outlineLevel="2">
      <c r="E231" s="25"/>
      <c r="F231" s="87"/>
      <c r="G231" s="87"/>
      <c r="H231" s="87"/>
      <c r="I231" s="87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</row>
    <row r="232" spans="5:9" ht="14.25" outlineLevel="1">
      <c r="E232" s="422"/>
      <c r="F232" s="84"/>
      <c r="G232" s="84"/>
      <c r="H232" s="84"/>
      <c r="I232" s="84"/>
    </row>
    <row r="233" spans="1:40" ht="15" outlineLevel="2">
      <c r="A233" s="385"/>
      <c r="B233" s="385"/>
      <c r="C233" s="385"/>
      <c r="D233" s="385"/>
      <c r="E233" s="8"/>
      <c r="F233" s="134"/>
      <c r="G233" s="135"/>
      <c r="H233" s="135"/>
      <c r="I233" s="136"/>
      <c r="J233" s="122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 t="str">
        <f aca="true" t="shared" si="96" ref="X233:AM233">+IF(W10&lt;&gt;0,X10/W10,"-")</f>
        <v>-</v>
      </c>
      <c r="Y233" s="123" t="str">
        <f t="shared" si="96"/>
        <v>-</v>
      </c>
      <c r="Z233" s="123" t="str">
        <f t="shared" si="96"/>
        <v>-</v>
      </c>
      <c r="AA233" s="123" t="str">
        <f t="shared" si="96"/>
        <v>-</v>
      </c>
      <c r="AB233" s="123" t="str">
        <f t="shared" si="96"/>
        <v>-</v>
      </c>
      <c r="AC233" s="123" t="str">
        <f t="shared" si="96"/>
        <v>-</v>
      </c>
      <c r="AD233" s="123" t="str">
        <f t="shared" si="96"/>
        <v>-</v>
      </c>
      <c r="AE233" s="123" t="str">
        <f t="shared" si="96"/>
        <v>-</v>
      </c>
      <c r="AF233" s="123" t="str">
        <f t="shared" si="96"/>
        <v>-</v>
      </c>
      <c r="AG233" s="123" t="str">
        <f t="shared" si="96"/>
        <v>-</v>
      </c>
      <c r="AH233" s="123" t="str">
        <f t="shared" si="96"/>
        <v>-</v>
      </c>
      <c r="AI233" s="123" t="str">
        <f t="shared" si="96"/>
        <v>-</v>
      </c>
      <c r="AJ233" s="123" t="str">
        <f t="shared" si="96"/>
        <v>-</v>
      </c>
      <c r="AK233" s="123" t="str">
        <f t="shared" si="96"/>
        <v>-</v>
      </c>
      <c r="AL233" s="123" t="str">
        <f t="shared" si="96"/>
        <v>-</v>
      </c>
      <c r="AM233" s="124" t="str">
        <f t="shared" si="96"/>
        <v>-</v>
      </c>
      <c r="AN233" s="46"/>
    </row>
    <row r="234" spans="5:39" ht="14.25" outlineLevel="2">
      <c r="E234" s="9"/>
      <c r="F234" s="137"/>
      <c r="G234" s="138"/>
      <c r="H234" s="138"/>
      <c r="I234" s="139"/>
      <c r="J234" s="125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 t="str">
        <f aca="true" t="shared" si="97" ref="X234:AM234">+IF(W11&lt;&gt;0,X11/W11,"-")</f>
        <v>-</v>
      </c>
      <c r="Y234" s="126" t="str">
        <f t="shared" si="97"/>
        <v>-</v>
      </c>
      <c r="Z234" s="126" t="str">
        <f t="shared" si="97"/>
        <v>-</v>
      </c>
      <c r="AA234" s="126" t="str">
        <f t="shared" si="97"/>
        <v>-</v>
      </c>
      <c r="AB234" s="126" t="str">
        <f t="shared" si="97"/>
        <v>-</v>
      </c>
      <c r="AC234" s="126" t="str">
        <f t="shared" si="97"/>
        <v>-</v>
      </c>
      <c r="AD234" s="126" t="str">
        <f t="shared" si="97"/>
        <v>-</v>
      </c>
      <c r="AE234" s="126" t="str">
        <f t="shared" si="97"/>
        <v>-</v>
      </c>
      <c r="AF234" s="126" t="str">
        <f t="shared" si="97"/>
        <v>-</v>
      </c>
      <c r="AG234" s="126" t="str">
        <f t="shared" si="97"/>
        <v>-</v>
      </c>
      <c r="AH234" s="126" t="str">
        <f t="shared" si="97"/>
        <v>-</v>
      </c>
      <c r="AI234" s="126" t="str">
        <f t="shared" si="97"/>
        <v>-</v>
      </c>
      <c r="AJ234" s="126" t="str">
        <f t="shared" si="97"/>
        <v>-</v>
      </c>
      <c r="AK234" s="126" t="str">
        <f t="shared" si="97"/>
        <v>-</v>
      </c>
      <c r="AL234" s="126" t="str">
        <f t="shared" si="97"/>
        <v>-</v>
      </c>
      <c r="AM234" s="127" t="str">
        <f t="shared" si="97"/>
        <v>-</v>
      </c>
    </row>
    <row r="235" spans="5:39" ht="14.25" outlineLevel="2">
      <c r="E235" s="10"/>
      <c r="F235" s="140"/>
      <c r="G235" s="141"/>
      <c r="H235" s="141"/>
      <c r="I235" s="142"/>
      <c r="J235" s="125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 t="str">
        <f aca="true" t="shared" si="98" ref="X235:AM235">+IF((W77)&lt;&gt;0,(X77)/(W77),"-")</f>
        <v>-</v>
      </c>
      <c r="Y235" s="126" t="str">
        <f t="shared" si="98"/>
        <v>-</v>
      </c>
      <c r="Z235" s="126" t="str">
        <f t="shared" si="98"/>
        <v>-</v>
      </c>
      <c r="AA235" s="126" t="str">
        <f t="shared" si="98"/>
        <v>-</v>
      </c>
      <c r="AB235" s="126" t="str">
        <f t="shared" si="98"/>
        <v>-</v>
      </c>
      <c r="AC235" s="126" t="str">
        <f t="shared" si="98"/>
        <v>-</v>
      </c>
      <c r="AD235" s="126" t="str">
        <f t="shared" si="98"/>
        <v>-</v>
      </c>
      <c r="AE235" s="126" t="str">
        <f t="shared" si="98"/>
        <v>-</v>
      </c>
      <c r="AF235" s="126" t="str">
        <f t="shared" si="98"/>
        <v>-</v>
      </c>
      <c r="AG235" s="126" t="str">
        <f t="shared" si="98"/>
        <v>-</v>
      </c>
      <c r="AH235" s="126" t="str">
        <f t="shared" si="98"/>
        <v>-</v>
      </c>
      <c r="AI235" s="126" t="str">
        <f t="shared" si="98"/>
        <v>-</v>
      </c>
      <c r="AJ235" s="126" t="str">
        <f t="shared" si="98"/>
        <v>-</v>
      </c>
      <c r="AK235" s="126" t="str">
        <f t="shared" si="98"/>
        <v>-</v>
      </c>
      <c r="AL235" s="126" t="str">
        <f t="shared" si="98"/>
        <v>-</v>
      </c>
      <c r="AM235" s="127" t="str">
        <f t="shared" si="98"/>
        <v>-</v>
      </c>
    </row>
    <row r="236" spans="5:39" ht="14.25" outlineLevel="2">
      <c r="E236" s="9"/>
      <c r="F236" s="137"/>
      <c r="G236" s="138"/>
      <c r="H236" s="138"/>
      <c r="I236" s="139"/>
      <c r="J236" s="125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 t="str">
        <f aca="true" t="shared" si="99" ref="X236:AM236">+IF(W18&lt;&gt;0,X18/W18,"-")</f>
        <v>-</v>
      </c>
      <c r="Y236" s="126" t="str">
        <f t="shared" si="99"/>
        <v>-</v>
      </c>
      <c r="Z236" s="126" t="str">
        <f t="shared" si="99"/>
        <v>-</v>
      </c>
      <c r="AA236" s="126" t="str">
        <f t="shared" si="99"/>
        <v>-</v>
      </c>
      <c r="AB236" s="126" t="str">
        <f t="shared" si="99"/>
        <v>-</v>
      </c>
      <c r="AC236" s="126" t="str">
        <f t="shared" si="99"/>
        <v>-</v>
      </c>
      <c r="AD236" s="126" t="str">
        <f t="shared" si="99"/>
        <v>-</v>
      </c>
      <c r="AE236" s="126" t="str">
        <f t="shared" si="99"/>
        <v>-</v>
      </c>
      <c r="AF236" s="126" t="str">
        <f t="shared" si="99"/>
        <v>-</v>
      </c>
      <c r="AG236" s="126" t="str">
        <f t="shared" si="99"/>
        <v>-</v>
      </c>
      <c r="AH236" s="126" t="str">
        <f t="shared" si="99"/>
        <v>-</v>
      </c>
      <c r="AI236" s="126" t="str">
        <f t="shared" si="99"/>
        <v>-</v>
      </c>
      <c r="AJ236" s="126" t="str">
        <f t="shared" si="99"/>
        <v>-</v>
      </c>
      <c r="AK236" s="126" t="str">
        <f t="shared" si="99"/>
        <v>-</v>
      </c>
      <c r="AL236" s="126" t="str">
        <f t="shared" si="99"/>
        <v>-</v>
      </c>
      <c r="AM236" s="127" t="str">
        <f t="shared" si="99"/>
        <v>-</v>
      </c>
    </row>
    <row r="237" spans="5:39" ht="14.25" outlineLevel="2">
      <c r="E237" s="11"/>
      <c r="F237" s="137"/>
      <c r="G237" s="138"/>
      <c r="H237" s="138"/>
      <c r="I237" s="139"/>
      <c r="J237" s="125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 t="str">
        <f aca="true" t="shared" si="100" ref="X237:AM237">+IF(W19&lt;&gt;0,X19/W19,"-")</f>
        <v>-</v>
      </c>
      <c r="Y237" s="126" t="str">
        <f t="shared" si="100"/>
        <v>-</v>
      </c>
      <c r="Z237" s="126" t="str">
        <f t="shared" si="100"/>
        <v>-</v>
      </c>
      <c r="AA237" s="126" t="str">
        <f t="shared" si="100"/>
        <v>-</v>
      </c>
      <c r="AB237" s="126" t="str">
        <f t="shared" si="100"/>
        <v>-</v>
      </c>
      <c r="AC237" s="126" t="str">
        <f t="shared" si="100"/>
        <v>-</v>
      </c>
      <c r="AD237" s="126" t="str">
        <f t="shared" si="100"/>
        <v>-</v>
      </c>
      <c r="AE237" s="126" t="str">
        <f t="shared" si="100"/>
        <v>-</v>
      </c>
      <c r="AF237" s="126" t="str">
        <f t="shared" si="100"/>
        <v>-</v>
      </c>
      <c r="AG237" s="126" t="str">
        <f t="shared" si="100"/>
        <v>-</v>
      </c>
      <c r="AH237" s="126" t="str">
        <f t="shared" si="100"/>
        <v>-</v>
      </c>
      <c r="AI237" s="126" t="str">
        <f t="shared" si="100"/>
        <v>-</v>
      </c>
      <c r="AJ237" s="126" t="str">
        <f t="shared" si="100"/>
        <v>-</v>
      </c>
      <c r="AK237" s="126" t="str">
        <f t="shared" si="100"/>
        <v>-</v>
      </c>
      <c r="AL237" s="126" t="str">
        <f t="shared" si="100"/>
        <v>-</v>
      </c>
      <c r="AM237" s="127" t="str">
        <f t="shared" si="100"/>
        <v>-</v>
      </c>
    </row>
    <row r="238" spans="5:39" ht="14.25" outlineLevel="2">
      <c r="E238" s="14"/>
      <c r="F238" s="143"/>
      <c r="G238" s="144"/>
      <c r="H238" s="144"/>
      <c r="I238" s="145"/>
      <c r="J238" s="128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 t="str">
        <f aca="true" t="shared" si="101" ref="X238:AM238">+IF((W80)&lt;&gt;0,(X80)/(W80),"-")</f>
        <v>-</v>
      </c>
      <c r="Y238" s="129" t="str">
        <f t="shared" si="101"/>
        <v>-</v>
      </c>
      <c r="Z238" s="129" t="str">
        <f t="shared" si="101"/>
        <v>-</v>
      </c>
      <c r="AA238" s="129" t="str">
        <f t="shared" si="101"/>
        <v>-</v>
      </c>
      <c r="AB238" s="129" t="str">
        <f t="shared" si="101"/>
        <v>-</v>
      </c>
      <c r="AC238" s="129" t="str">
        <f t="shared" si="101"/>
        <v>-</v>
      </c>
      <c r="AD238" s="129" t="str">
        <f t="shared" si="101"/>
        <v>-</v>
      </c>
      <c r="AE238" s="129" t="str">
        <f t="shared" si="101"/>
        <v>-</v>
      </c>
      <c r="AF238" s="129" t="str">
        <f t="shared" si="101"/>
        <v>-</v>
      </c>
      <c r="AG238" s="129" t="str">
        <f t="shared" si="101"/>
        <v>-</v>
      </c>
      <c r="AH238" s="129" t="str">
        <f t="shared" si="101"/>
        <v>-</v>
      </c>
      <c r="AI238" s="129" t="str">
        <f t="shared" si="101"/>
        <v>-</v>
      </c>
      <c r="AJ238" s="129" t="str">
        <f t="shared" si="101"/>
        <v>-</v>
      </c>
      <c r="AK238" s="129" t="str">
        <f t="shared" si="101"/>
        <v>-</v>
      </c>
      <c r="AL238" s="129" t="str">
        <f t="shared" si="101"/>
        <v>-</v>
      </c>
      <c r="AM238" s="130" t="str">
        <f t="shared" si="101"/>
        <v>-</v>
      </c>
    </row>
    <row r="239" spans="1:40" ht="15" outlineLevel="2">
      <c r="A239" s="385"/>
      <c r="B239" s="385"/>
      <c r="C239" s="385"/>
      <c r="D239" s="385"/>
      <c r="E239" s="8"/>
      <c r="F239" s="134"/>
      <c r="G239" s="135"/>
      <c r="H239" s="135"/>
      <c r="I239" s="136"/>
      <c r="J239" s="122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 t="str">
        <f aca="true" t="shared" si="102" ref="X239:AM239">+IF(W21&lt;&gt;0,X21/W21,"-")</f>
        <v>-</v>
      </c>
      <c r="Y239" s="123" t="str">
        <f t="shared" si="102"/>
        <v>-</v>
      </c>
      <c r="Z239" s="123" t="str">
        <f t="shared" si="102"/>
        <v>-</v>
      </c>
      <c r="AA239" s="123" t="str">
        <f t="shared" si="102"/>
        <v>-</v>
      </c>
      <c r="AB239" s="123" t="str">
        <f t="shared" si="102"/>
        <v>-</v>
      </c>
      <c r="AC239" s="123" t="str">
        <f t="shared" si="102"/>
        <v>-</v>
      </c>
      <c r="AD239" s="123" t="str">
        <f t="shared" si="102"/>
        <v>-</v>
      </c>
      <c r="AE239" s="123" t="str">
        <f t="shared" si="102"/>
        <v>-</v>
      </c>
      <c r="AF239" s="123" t="str">
        <f t="shared" si="102"/>
        <v>-</v>
      </c>
      <c r="AG239" s="123" t="str">
        <f t="shared" si="102"/>
        <v>-</v>
      </c>
      <c r="AH239" s="123" t="str">
        <f t="shared" si="102"/>
        <v>-</v>
      </c>
      <c r="AI239" s="123" t="str">
        <f t="shared" si="102"/>
        <v>-</v>
      </c>
      <c r="AJ239" s="123" t="str">
        <f t="shared" si="102"/>
        <v>-</v>
      </c>
      <c r="AK239" s="123" t="str">
        <f t="shared" si="102"/>
        <v>-</v>
      </c>
      <c r="AL239" s="123" t="str">
        <f t="shared" si="102"/>
        <v>-</v>
      </c>
      <c r="AM239" s="124" t="str">
        <f t="shared" si="102"/>
        <v>-</v>
      </c>
      <c r="AN239" s="46"/>
    </row>
    <row r="240" spans="5:39" ht="14.25" outlineLevel="2">
      <c r="E240" s="9"/>
      <c r="F240" s="137"/>
      <c r="G240" s="138"/>
      <c r="H240" s="138"/>
      <c r="I240" s="139"/>
      <c r="J240" s="125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 t="str">
        <f aca="true" t="shared" si="103" ref="X240:AM240">+IF(W22&lt;&gt;0,X22/W22,"-")</f>
        <v>-</v>
      </c>
      <c r="Y240" s="126" t="str">
        <f t="shared" si="103"/>
        <v>-</v>
      </c>
      <c r="Z240" s="126" t="str">
        <f t="shared" si="103"/>
        <v>-</v>
      </c>
      <c r="AA240" s="126" t="str">
        <f t="shared" si="103"/>
        <v>-</v>
      </c>
      <c r="AB240" s="126" t="str">
        <f t="shared" si="103"/>
        <v>-</v>
      </c>
      <c r="AC240" s="126" t="str">
        <f t="shared" si="103"/>
        <v>-</v>
      </c>
      <c r="AD240" s="126" t="str">
        <f t="shared" si="103"/>
        <v>-</v>
      </c>
      <c r="AE240" s="126" t="str">
        <f t="shared" si="103"/>
        <v>-</v>
      </c>
      <c r="AF240" s="126" t="str">
        <f t="shared" si="103"/>
        <v>-</v>
      </c>
      <c r="AG240" s="126" t="str">
        <f t="shared" si="103"/>
        <v>-</v>
      </c>
      <c r="AH240" s="126" t="str">
        <f t="shared" si="103"/>
        <v>-</v>
      </c>
      <c r="AI240" s="126" t="str">
        <f t="shared" si="103"/>
        <v>-</v>
      </c>
      <c r="AJ240" s="126" t="str">
        <f t="shared" si="103"/>
        <v>-</v>
      </c>
      <c r="AK240" s="126" t="str">
        <f t="shared" si="103"/>
        <v>-</v>
      </c>
      <c r="AL240" s="126" t="str">
        <f t="shared" si="103"/>
        <v>-</v>
      </c>
      <c r="AM240" s="127" t="str">
        <f t="shared" si="103"/>
        <v>-</v>
      </c>
    </row>
    <row r="241" spans="5:39" ht="14.25" outlineLevel="2">
      <c r="E241" s="10"/>
      <c r="F241" s="137"/>
      <c r="G241" s="138"/>
      <c r="H241" s="138"/>
      <c r="I241" s="139"/>
      <c r="J241" s="125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 t="str">
        <f aca="true" t="shared" si="104" ref="X241:AM241">+IF((W22-W26)&lt;&gt;0,(X22-X26)/(W22-W26),"-")</f>
        <v>-</v>
      </c>
      <c r="Y241" s="126" t="str">
        <f t="shared" si="104"/>
        <v>-</v>
      </c>
      <c r="Z241" s="126" t="str">
        <f t="shared" si="104"/>
        <v>-</v>
      </c>
      <c r="AA241" s="126" t="str">
        <f t="shared" si="104"/>
        <v>-</v>
      </c>
      <c r="AB241" s="126" t="str">
        <f t="shared" si="104"/>
        <v>-</v>
      </c>
      <c r="AC241" s="126" t="str">
        <f t="shared" si="104"/>
        <v>-</v>
      </c>
      <c r="AD241" s="126" t="str">
        <f t="shared" si="104"/>
        <v>-</v>
      </c>
      <c r="AE241" s="126" t="str">
        <f t="shared" si="104"/>
        <v>-</v>
      </c>
      <c r="AF241" s="126" t="str">
        <f t="shared" si="104"/>
        <v>-</v>
      </c>
      <c r="AG241" s="126" t="str">
        <f t="shared" si="104"/>
        <v>-</v>
      </c>
      <c r="AH241" s="126" t="str">
        <f t="shared" si="104"/>
        <v>-</v>
      </c>
      <c r="AI241" s="126" t="str">
        <f t="shared" si="104"/>
        <v>-</v>
      </c>
      <c r="AJ241" s="126" t="str">
        <f t="shared" si="104"/>
        <v>-</v>
      </c>
      <c r="AK241" s="126" t="str">
        <f t="shared" si="104"/>
        <v>-</v>
      </c>
      <c r="AL241" s="126" t="str">
        <f t="shared" si="104"/>
        <v>-</v>
      </c>
      <c r="AM241" s="127" t="str">
        <f t="shared" si="104"/>
        <v>-</v>
      </c>
    </row>
    <row r="242" spans="5:39" ht="14.25" outlineLevel="2">
      <c r="E242" s="10"/>
      <c r="F242" s="137"/>
      <c r="G242" s="138"/>
      <c r="H242" s="138"/>
      <c r="I242" s="139"/>
      <c r="J242" s="125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 t="str">
        <f aca="true" t="shared" si="105" ref="X242:AM242">+IF(W83&lt;&gt;0,X83/W83,"-")</f>
        <v>-</v>
      </c>
      <c r="Y242" s="126" t="str">
        <f t="shared" si="105"/>
        <v>-</v>
      </c>
      <c r="Z242" s="126" t="str">
        <f t="shared" si="105"/>
        <v>-</v>
      </c>
      <c r="AA242" s="126" t="str">
        <f t="shared" si="105"/>
        <v>-</v>
      </c>
      <c r="AB242" s="126" t="str">
        <f t="shared" si="105"/>
        <v>-</v>
      </c>
      <c r="AC242" s="126" t="str">
        <f t="shared" si="105"/>
        <v>-</v>
      </c>
      <c r="AD242" s="126" t="str">
        <f t="shared" si="105"/>
        <v>-</v>
      </c>
      <c r="AE242" s="126" t="str">
        <f t="shared" si="105"/>
        <v>-</v>
      </c>
      <c r="AF242" s="126" t="str">
        <f t="shared" si="105"/>
        <v>-</v>
      </c>
      <c r="AG242" s="126" t="str">
        <f t="shared" si="105"/>
        <v>-</v>
      </c>
      <c r="AH242" s="126" t="str">
        <f t="shared" si="105"/>
        <v>-</v>
      </c>
      <c r="AI242" s="126" t="str">
        <f t="shared" si="105"/>
        <v>-</v>
      </c>
      <c r="AJ242" s="126" t="str">
        <f t="shared" si="105"/>
        <v>-</v>
      </c>
      <c r="AK242" s="126" t="str">
        <f t="shared" si="105"/>
        <v>-</v>
      </c>
      <c r="AL242" s="126" t="str">
        <f t="shared" si="105"/>
        <v>-</v>
      </c>
      <c r="AM242" s="127" t="str">
        <f t="shared" si="105"/>
        <v>-</v>
      </c>
    </row>
    <row r="243" spans="5:39" ht="14.25" outlineLevel="2">
      <c r="E243" s="10"/>
      <c r="F243" s="137"/>
      <c r="G243" s="138"/>
      <c r="H243" s="138"/>
      <c r="I243" s="139"/>
      <c r="J243" s="125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 t="str">
        <f aca="true" t="shared" si="106" ref="X243:AM243">+IF(W23&lt;&gt;0,X23/W23,"-")</f>
        <v>-</v>
      </c>
      <c r="Y243" s="126" t="str">
        <f t="shared" si="106"/>
        <v>-</v>
      </c>
      <c r="Z243" s="126" t="str">
        <f t="shared" si="106"/>
        <v>-</v>
      </c>
      <c r="AA243" s="126" t="str">
        <f t="shared" si="106"/>
        <v>-</v>
      </c>
      <c r="AB243" s="126" t="str">
        <f t="shared" si="106"/>
        <v>-</v>
      </c>
      <c r="AC243" s="126" t="str">
        <f t="shared" si="106"/>
        <v>-</v>
      </c>
      <c r="AD243" s="126" t="str">
        <f t="shared" si="106"/>
        <v>-</v>
      </c>
      <c r="AE243" s="126" t="str">
        <f t="shared" si="106"/>
        <v>-</v>
      </c>
      <c r="AF243" s="126" t="str">
        <f t="shared" si="106"/>
        <v>-</v>
      </c>
      <c r="AG243" s="126" t="str">
        <f t="shared" si="106"/>
        <v>-</v>
      </c>
      <c r="AH243" s="126" t="str">
        <f t="shared" si="106"/>
        <v>-</v>
      </c>
      <c r="AI243" s="126" t="str">
        <f t="shared" si="106"/>
        <v>-</v>
      </c>
      <c r="AJ243" s="126" t="str">
        <f t="shared" si="106"/>
        <v>-</v>
      </c>
      <c r="AK243" s="126" t="str">
        <f t="shared" si="106"/>
        <v>-</v>
      </c>
      <c r="AL243" s="126" t="str">
        <f t="shared" si="106"/>
        <v>-</v>
      </c>
      <c r="AM243" s="127" t="str">
        <f t="shared" si="106"/>
        <v>-</v>
      </c>
    </row>
    <row r="244" spans="5:39" ht="14.25" outlineLevel="2">
      <c r="E244" s="12"/>
      <c r="F244" s="137"/>
      <c r="G244" s="138"/>
      <c r="H244" s="138"/>
      <c r="I244" s="139"/>
      <c r="J244" s="125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 t="str">
        <f aca="true" t="shared" si="107" ref="X244:AM244">+IF(W24&lt;&gt;0,X24/W24,"-")</f>
        <v>-</v>
      </c>
      <c r="Y244" s="126" t="str">
        <f t="shared" si="107"/>
        <v>-</v>
      </c>
      <c r="Z244" s="126" t="str">
        <f t="shared" si="107"/>
        <v>-</v>
      </c>
      <c r="AA244" s="126" t="str">
        <f t="shared" si="107"/>
        <v>-</v>
      </c>
      <c r="AB244" s="126" t="str">
        <f t="shared" si="107"/>
        <v>-</v>
      </c>
      <c r="AC244" s="126" t="str">
        <f t="shared" si="107"/>
        <v>-</v>
      </c>
      <c r="AD244" s="126" t="str">
        <f t="shared" si="107"/>
        <v>-</v>
      </c>
      <c r="AE244" s="126" t="str">
        <f t="shared" si="107"/>
        <v>-</v>
      </c>
      <c r="AF244" s="126" t="str">
        <f t="shared" si="107"/>
        <v>-</v>
      </c>
      <c r="AG244" s="126" t="str">
        <f t="shared" si="107"/>
        <v>-</v>
      </c>
      <c r="AH244" s="126" t="str">
        <f t="shared" si="107"/>
        <v>-</v>
      </c>
      <c r="AI244" s="126" t="str">
        <f t="shared" si="107"/>
        <v>-</v>
      </c>
      <c r="AJ244" s="126" t="str">
        <f t="shared" si="107"/>
        <v>-</v>
      </c>
      <c r="AK244" s="126" t="str">
        <f t="shared" si="107"/>
        <v>-</v>
      </c>
      <c r="AL244" s="126" t="str">
        <f t="shared" si="107"/>
        <v>-</v>
      </c>
      <c r="AM244" s="127" t="str">
        <f t="shared" si="107"/>
        <v>-</v>
      </c>
    </row>
    <row r="245" spans="5:39" ht="14.25" outlineLevel="2">
      <c r="E245" s="10"/>
      <c r="F245" s="137"/>
      <c r="G245" s="138"/>
      <c r="H245" s="138"/>
      <c r="I245" s="139"/>
      <c r="J245" s="125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 t="str">
        <f aca="true" t="shared" si="108" ref="X245:AM245">+IF(W26&lt;&gt;0,X26/W26,"-")</f>
        <v>-</v>
      </c>
      <c r="Y245" s="126" t="str">
        <f t="shared" si="108"/>
        <v>-</v>
      </c>
      <c r="Z245" s="126" t="str">
        <f t="shared" si="108"/>
        <v>-</v>
      </c>
      <c r="AA245" s="126" t="str">
        <f t="shared" si="108"/>
        <v>-</v>
      </c>
      <c r="AB245" s="126" t="str">
        <f t="shared" si="108"/>
        <v>-</v>
      </c>
      <c r="AC245" s="126" t="str">
        <f t="shared" si="108"/>
        <v>-</v>
      </c>
      <c r="AD245" s="126" t="str">
        <f t="shared" si="108"/>
        <v>-</v>
      </c>
      <c r="AE245" s="126" t="str">
        <f t="shared" si="108"/>
        <v>-</v>
      </c>
      <c r="AF245" s="126" t="str">
        <f t="shared" si="108"/>
        <v>-</v>
      </c>
      <c r="AG245" s="126" t="str">
        <f t="shared" si="108"/>
        <v>-</v>
      </c>
      <c r="AH245" s="126" t="str">
        <f t="shared" si="108"/>
        <v>-</v>
      </c>
      <c r="AI245" s="126" t="str">
        <f t="shared" si="108"/>
        <v>-</v>
      </c>
      <c r="AJ245" s="126" t="str">
        <f t="shared" si="108"/>
        <v>-</v>
      </c>
      <c r="AK245" s="126" t="str">
        <f t="shared" si="108"/>
        <v>-</v>
      </c>
      <c r="AL245" s="126" t="str">
        <f t="shared" si="108"/>
        <v>-</v>
      </c>
      <c r="AM245" s="127" t="str">
        <f t="shared" si="108"/>
        <v>-</v>
      </c>
    </row>
    <row r="246" spans="5:39" ht="14.25" outlineLevel="2">
      <c r="E246" s="12"/>
      <c r="F246" s="137"/>
      <c r="G246" s="138"/>
      <c r="H246" s="138"/>
      <c r="I246" s="139"/>
      <c r="J246" s="125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 t="str">
        <f aca="true" t="shared" si="109" ref="X246:AM246">+IF(W27&lt;&gt;0,X27/W27,"-")</f>
        <v>-</v>
      </c>
      <c r="Y246" s="126" t="str">
        <f t="shared" si="109"/>
        <v>-</v>
      </c>
      <c r="Z246" s="126" t="str">
        <f t="shared" si="109"/>
        <v>-</v>
      </c>
      <c r="AA246" s="126" t="str">
        <f t="shared" si="109"/>
        <v>-</v>
      </c>
      <c r="AB246" s="126" t="str">
        <f t="shared" si="109"/>
        <v>-</v>
      </c>
      <c r="AC246" s="126" t="str">
        <f t="shared" si="109"/>
        <v>-</v>
      </c>
      <c r="AD246" s="126" t="str">
        <f t="shared" si="109"/>
        <v>-</v>
      </c>
      <c r="AE246" s="126" t="str">
        <f t="shared" si="109"/>
        <v>-</v>
      </c>
      <c r="AF246" s="126" t="str">
        <f t="shared" si="109"/>
        <v>-</v>
      </c>
      <c r="AG246" s="126" t="str">
        <f t="shared" si="109"/>
        <v>-</v>
      </c>
      <c r="AH246" s="126" t="str">
        <f t="shared" si="109"/>
        <v>-</v>
      </c>
      <c r="AI246" s="126" t="str">
        <f t="shared" si="109"/>
        <v>-</v>
      </c>
      <c r="AJ246" s="126" t="str">
        <f t="shared" si="109"/>
        <v>-</v>
      </c>
      <c r="AK246" s="126" t="str">
        <f t="shared" si="109"/>
        <v>-</v>
      </c>
      <c r="AL246" s="126" t="str">
        <f t="shared" si="109"/>
        <v>-</v>
      </c>
      <c r="AM246" s="127" t="str">
        <f t="shared" si="109"/>
        <v>-</v>
      </c>
    </row>
    <row r="247" spans="5:39" ht="14.25" outlineLevel="2">
      <c r="E247" s="9"/>
      <c r="F247" s="137"/>
      <c r="G247" s="138"/>
      <c r="H247" s="138"/>
      <c r="I247" s="139"/>
      <c r="J247" s="125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 t="str">
        <f aca="true" t="shared" si="110" ref="X247:AM247">+IF(W28&lt;&gt;0,X28/W28,"-")</f>
        <v>-</v>
      </c>
      <c r="Y247" s="126" t="str">
        <f t="shared" si="110"/>
        <v>-</v>
      </c>
      <c r="Z247" s="126" t="str">
        <f t="shared" si="110"/>
        <v>-</v>
      </c>
      <c r="AA247" s="126" t="str">
        <f t="shared" si="110"/>
        <v>-</v>
      </c>
      <c r="AB247" s="126" t="str">
        <f t="shared" si="110"/>
        <v>-</v>
      </c>
      <c r="AC247" s="126" t="str">
        <f t="shared" si="110"/>
        <v>-</v>
      </c>
      <c r="AD247" s="126" t="str">
        <f t="shared" si="110"/>
        <v>-</v>
      </c>
      <c r="AE247" s="126" t="str">
        <f t="shared" si="110"/>
        <v>-</v>
      </c>
      <c r="AF247" s="126" t="str">
        <f t="shared" si="110"/>
        <v>-</v>
      </c>
      <c r="AG247" s="126" t="str">
        <f t="shared" si="110"/>
        <v>-</v>
      </c>
      <c r="AH247" s="126" t="str">
        <f t="shared" si="110"/>
        <v>-</v>
      </c>
      <c r="AI247" s="126" t="str">
        <f t="shared" si="110"/>
        <v>-</v>
      </c>
      <c r="AJ247" s="126" t="str">
        <f t="shared" si="110"/>
        <v>-</v>
      </c>
      <c r="AK247" s="126" t="str">
        <f t="shared" si="110"/>
        <v>-</v>
      </c>
      <c r="AL247" s="126" t="str">
        <f t="shared" si="110"/>
        <v>-</v>
      </c>
      <c r="AM247" s="127" t="str">
        <f t="shared" si="110"/>
        <v>-</v>
      </c>
    </row>
    <row r="248" spans="5:39" ht="14.25" outlineLevel="2">
      <c r="E248" s="14"/>
      <c r="F248" s="146"/>
      <c r="G248" s="147"/>
      <c r="H248" s="147"/>
      <c r="I248" s="148"/>
      <c r="J248" s="128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 t="str">
        <f aca="true" t="shared" si="111" ref="X248:AM248">+IF(W86&lt;&gt;0,X86/W86,"-")</f>
        <v>-</v>
      </c>
      <c r="Y248" s="129" t="str">
        <f t="shared" si="111"/>
        <v>-</v>
      </c>
      <c r="Z248" s="129" t="str">
        <f t="shared" si="111"/>
        <v>-</v>
      </c>
      <c r="AA248" s="129" t="str">
        <f t="shared" si="111"/>
        <v>-</v>
      </c>
      <c r="AB248" s="129" t="str">
        <f t="shared" si="111"/>
        <v>-</v>
      </c>
      <c r="AC248" s="129" t="str">
        <f t="shared" si="111"/>
        <v>-</v>
      </c>
      <c r="AD248" s="129" t="str">
        <f t="shared" si="111"/>
        <v>-</v>
      </c>
      <c r="AE248" s="129" t="str">
        <f t="shared" si="111"/>
        <v>-</v>
      </c>
      <c r="AF248" s="129" t="str">
        <f t="shared" si="111"/>
        <v>-</v>
      </c>
      <c r="AG248" s="129" t="str">
        <f t="shared" si="111"/>
        <v>-</v>
      </c>
      <c r="AH248" s="129" t="str">
        <f t="shared" si="111"/>
        <v>-</v>
      </c>
      <c r="AI248" s="129" t="str">
        <f t="shared" si="111"/>
        <v>-</v>
      </c>
      <c r="AJ248" s="129" t="str">
        <f t="shared" si="111"/>
        <v>-</v>
      </c>
      <c r="AK248" s="129" t="str">
        <f t="shared" si="111"/>
        <v>-</v>
      </c>
      <c r="AL248" s="129" t="str">
        <f t="shared" si="111"/>
        <v>-</v>
      </c>
      <c r="AM248" s="130" t="str">
        <f t="shared" si="111"/>
        <v>-</v>
      </c>
    </row>
    <row r="249" spans="5:39" ht="14.25" outlineLevel="2">
      <c r="E249" s="35"/>
      <c r="F249" s="38"/>
      <c r="G249" s="38"/>
      <c r="H249" s="38"/>
      <c r="I249" s="38"/>
      <c r="J249" s="412"/>
      <c r="K249" s="413"/>
      <c r="L249" s="413"/>
      <c r="M249" s="413"/>
      <c r="N249" s="413"/>
      <c r="O249" s="413"/>
      <c r="P249" s="413"/>
      <c r="Q249" s="413"/>
      <c r="R249" s="413"/>
      <c r="S249" s="413"/>
      <c r="T249" s="413"/>
      <c r="U249" s="413"/>
      <c r="V249" s="413"/>
      <c r="W249" s="413"/>
      <c r="X249" s="413"/>
      <c r="Y249" s="413"/>
      <c r="Z249" s="413"/>
      <c r="AA249" s="413"/>
      <c r="AB249" s="413"/>
      <c r="AC249" s="413"/>
      <c r="AD249" s="413"/>
      <c r="AE249" s="413"/>
      <c r="AF249" s="413"/>
      <c r="AG249" s="413"/>
      <c r="AH249" s="413"/>
      <c r="AI249" s="413"/>
      <c r="AJ249" s="413"/>
      <c r="AK249" s="413"/>
      <c r="AL249" s="413"/>
      <c r="AM249" s="413"/>
    </row>
    <row r="250" spans="5:39" ht="14.25" outlineLevel="2">
      <c r="E250" s="34"/>
      <c r="F250" s="323"/>
      <c r="G250" s="324"/>
      <c r="H250" s="324"/>
      <c r="I250" s="325"/>
      <c r="J250" s="131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 t="str">
        <f aca="true" t="shared" si="112" ref="X250:AM250">+IF(W68&lt;&gt;0,X68/W68,"-")</f>
        <v>-</v>
      </c>
      <c r="Y250" s="132" t="str">
        <f t="shared" si="112"/>
        <v>-</v>
      </c>
      <c r="Z250" s="132" t="str">
        <f t="shared" si="112"/>
        <v>-</v>
      </c>
      <c r="AA250" s="132" t="str">
        <f t="shared" si="112"/>
        <v>-</v>
      </c>
      <c r="AB250" s="132" t="str">
        <f t="shared" si="112"/>
        <v>-</v>
      </c>
      <c r="AC250" s="132" t="str">
        <f t="shared" si="112"/>
        <v>-</v>
      </c>
      <c r="AD250" s="132" t="str">
        <f t="shared" si="112"/>
        <v>-</v>
      </c>
      <c r="AE250" s="132" t="str">
        <f t="shared" si="112"/>
        <v>-</v>
      </c>
      <c r="AF250" s="132" t="str">
        <f t="shared" si="112"/>
        <v>-</v>
      </c>
      <c r="AG250" s="132" t="str">
        <f t="shared" si="112"/>
        <v>-</v>
      </c>
      <c r="AH250" s="132" t="str">
        <f t="shared" si="112"/>
        <v>-</v>
      </c>
      <c r="AI250" s="132" t="str">
        <f t="shared" si="112"/>
        <v>-</v>
      </c>
      <c r="AJ250" s="132" t="str">
        <f t="shared" si="112"/>
        <v>-</v>
      </c>
      <c r="AK250" s="132" t="str">
        <f t="shared" si="112"/>
        <v>-</v>
      </c>
      <c r="AL250" s="132" t="str">
        <f t="shared" si="112"/>
        <v>-</v>
      </c>
      <c r="AM250" s="133" t="str">
        <f t="shared" si="112"/>
        <v>-</v>
      </c>
    </row>
    <row r="251" spans="5:39" ht="14.25" outlineLevel="2">
      <c r="E251" s="9"/>
      <c r="F251" s="137"/>
      <c r="G251" s="138"/>
      <c r="H251" s="138"/>
      <c r="I251" s="139"/>
      <c r="J251" s="125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 t="str">
        <f aca="true" t="shared" si="113" ref="X251:AM251">+IF(W69&lt;&gt;0,X69/W69,"-")</f>
        <v>-</v>
      </c>
      <c r="Y251" s="126" t="str">
        <f t="shared" si="113"/>
        <v>-</v>
      </c>
      <c r="Z251" s="126" t="str">
        <f t="shared" si="113"/>
        <v>-</v>
      </c>
      <c r="AA251" s="126" t="str">
        <f t="shared" si="113"/>
        <v>-</v>
      </c>
      <c r="AB251" s="126" t="str">
        <f t="shared" si="113"/>
        <v>-</v>
      </c>
      <c r="AC251" s="126" t="str">
        <f t="shared" si="113"/>
        <v>-</v>
      </c>
      <c r="AD251" s="126" t="str">
        <f t="shared" si="113"/>
        <v>-</v>
      </c>
      <c r="AE251" s="126" t="str">
        <f t="shared" si="113"/>
        <v>-</v>
      </c>
      <c r="AF251" s="126" t="str">
        <f t="shared" si="113"/>
        <v>-</v>
      </c>
      <c r="AG251" s="126" t="str">
        <f t="shared" si="113"/>
        <v>-</v>
      </c>
      <c r="AH251" s="126" t="str">
        <f t="shared" si="113"/>
        <v>-</v>
      </c>
      <c r="AI251" s="126" t="str">
        <f t="shared" si="113"/>
        <v>-</v>
      </c>
      <c r="AJ251" s="126" t="str">
        <f t="shared" si="113"/>
        <v>-</v>
      </c>
      <c r="AK251" s="126" t="str">
        <f t="shared" si="113"/>
        <v>-</v>
      </c>
      <c r="AL251" s="126" t="str">
        <f t="shared" si="113"/>
        <v>-</v>
      </c>
      <c r="AM251" s="127" t="str">
        <f t="shared" si="113"/>
        <v>-</v>
      </c>
    </row>
    <row r="252" spans="5:39" ht="14.25" outlineLevel="2">
      <c r="E252" s="9"/>
      <c r="F252" s="137"/>
      <c r="G252" s="138"/>
      <c r="H252" s="138"/>
      <c r="I252" s="139"/>
      <c r="J252" s="125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 t="str">
        <f aca="true" t="shared" si="114" ref="X252:AM252">+IF(W71&lt;&gt;0,X71/W71,"-")</f>
        <v>-</v>
      </c>
      <c r="Y252" s="126" t="str">
        <f t="shared" si="114"/>
        <v>-</v>
      </c>
      <c r="Z252" s="126" t="str">
        <f t="shared" si="114"/>
        <v>-</v>
      </c>
      <c r="AA252" s="126" t="str">
        <f t="shared" si="114"/>
        <v>-</v>
      </c>
      <c r="AB252" s="126" t="str">
        <f t="shared" si="114"/>
        <v>-</v>
      </c>
      <c r="AC252" s="126" t="str">
        <f t="shared" si="114"/>
        <v>-</v>
      </c>
      <c r="AD252" s="126" t="str">
        <f t="shared" si="114"/>
        <v>-</v>
      </c>
      <c r="AE252" s="126" t="str">
        <f t="shared" si="114"/>
        <v>-</v>
      </c>
      <c r="AF252" s="126" t="str">
        <f t="shared" si="114"/>
        <v>-</v>
      </c>
      <c r="AG252" s="126" t="str">
        <f t="shared" si="114"/>
        <v>-</v>
      </c>
      <c r="AH252" s="126" t="str">
        <f t="shared" si="114"/>
        <v>-</v>
      </c>
      <c r="AI252" s="126" t="str">
        <f t="shared" si="114"/>
        <v>-</v>
      </c>
      <c r="AJ252" s="126" t="str">
        <f t="shared" si="114"/>
        <v>-</v>
      </c>
      <c r="AK252" s="126" t="str">
        <f t="shared" si="114"/>
        <v>-</v>
      </c>
      <c r="AL252" s="126" t="str">
        <f t="shared" si="114"/>
        <v>-</v>
      </c>
      <c r="AM252" s="127" t="str">
        <f t="shared" si="114"/>
        <v>-</v>
      </c>
    </row>
    <row r="253" spans="5:39" ht="14.25" outlineLevel="2">
      <c r="E253" s="13"/>
      <c r="F253" s="146"/>
      <c r="G253" s="147"/>
      <c r="H253" s="147"/>
      <c r="I253" s="148"/>
      <c r="J253" s="128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 t="str">
        <f aca="true" t="shared" si="115" ref="X253:AM253">+IF(W72&lt;&gt;0,X72/W72,"-")</f>
        <v>-</v>
      </c>
      <c r="Y253" s="129" t="str">
        <f t="shared" si="115"/>
        <v>-</v>
      </c>
      <c r="Z253" s="129" t="str">
        <f t="shared" si="115"/>
        <v>-</v>
      </c>
      <c r="AA253" s="129" t="str">
        <f t="shared" si="115"/>
        <v>-</v>
      </c>
      <c r="AB253" s="129" t="str">
        <f t="shared" si="115"/>
        <v>-</v>
      </c>
      <c r="AC253" s="129" t="str">
        <f t="shared" si="115"/>
        <v>-</v>
      </c>
      <c r="AD253" s="129" t="str">
        <f t="shared" si="115"/>
        <v>-</v>
      </c>
      <c r="AE253" s="129" t="str">
        <f t="shared" si="115"/>
        <v>-</v>
      </c>
      <c r="AF253" s="129" t="str">
        <f t="shared" si="115"/>
        <v>-</v>
      </c>
      <c r="AG253" s="129" t="str">
        <f t="shared" si="115"/>
        <v>-</v>
      </c>
      <c r="AH253" s="129" t="str">
        <f t="shared" si="115"/>
        <v>-</v>
      </c>
      <c r="AI253" s="129" t="str">
        <f t="shared" si="115"/>
        <v>-</v>
      </c>
      <c r="AJ253" s="129" t="str">
        <f t="shared" si="115"/>
        <v>-</v>
      </c>
      <c r="AK253" s="129" t="str">
        <f t="shared" si="115"/>
        <v>-</v>
      </c>
      <c r="AL253" s="129" t="str">
        <f t="shared" si="115"/>
        <v>-</v>
      </c>
      <c r="AM253" s="130" t="str">
        <f t="shared" si="115"/>
        <v>-</v>
      </c>
    </row>
  </sheetData>
  <sheetProtection formatCells="0" formatColumns="0" formatRows="0" insertColumns="0" deleteColumns="0"/>
  <mergeCells count="147">
    <mergeCell ref="A166:D166"/>
    <mergeCell ref="A167:D167"/>
    <mergeCell ref="A168:D168"/>
    <mergeCell ref="A170:D170"/>
    <mergeCell ref="A171:D171"/>
    <mergeCell ref="A169:D169"/>
    <mergeCell ref="A160:D160"/>
    <mergeCell ref="A161:D161"/>
    <mergeCell ref="A162:D162"/>
    <mergeCell ref="A164:D164"/>
    <mergeCell ref="A163:D163"/>
    <mergeCell ref="A165:D165"/>
    <mergeCell ref="A154:D154"/>
    <mergeCell ref="A155:D155"/>
    <mergeCell ref="A156:D156"/>
    <mergeCell ref="A158:D158"/>
    <mergeCell ref="A159:D159"/>
    <mergeCell ref="A157:D157"/>
    <mergeCell ref="A148:D148"/>
    <mergeCell ref="A149:D149"/>
    <mergeCell ref="A150:D150"/>
    <mergeCell ref="A152:D152"/>
    <mergeCell ref="A151:D151"/>
    <mergeCell ref="A153:D153"/>
    <mergeCell ref="A141:D141"/>
    <mergeCell ref="A142:D142"/>
    <mergeCell ref="A143:D143"/>
    <mergeCell ref="A144:D144"/>
    <mergeCell ref="A146:D146"/>
    <mergeCell ref="A147:D147"/>
    <mergeCell ref="A145:D145"/>
    <mergeCell ref="A124:D124"/>
    <mergeCell ref="A125:D125"/>
    <mergeCell ref="A126:D126"/>
    <mergeCell ref="A129:D129"/>
    <mergeCell ref="A130:D130"/>
    <mergeCell ref="A131:D131"/>
    <mergeCell ref="A128:D128"/>
    <mergeCell ref="A127:D127"/>
    <mergeCell ref="A139:D139"/>
    <mergeCell ref="A133:D133"/>
    <mergeCell ref="A132:D132"/>
    <mergeCell ref="A134:D134"/>
    <mergeCell ref="A135:D135"/>
    <mergeCell ref="A136:D136"/>
    <mergeCell ref="A137:D137"/>
    <mergeCell ref="A138:D138"/>
    <mergeCell ref="A140:D140"/>
    <mergeCell ref="A121:D121"/>
    <mergeCell ref="A115:D115"/>
    <mergeCell ref="A116:D116"/>
    <mergeCell ref="A117:D117"/>
    <mergeCell ref="A118:D118"/>
    <mergeCell ref="A119:D119"/>
    <mergeCell ref="A120:D120"/>
    <mergeCell ref="A122:D122"/>
    <mergeCell ref="A123:D123"/>
    <mergeCell ref="B9:E9"/>
    <mergeCell ref="B10:E10"/>
    <mergeCell ref="C11:E11"/>
    <mergeCell ref="D12:E12"/>
    <mergeCell ref="D13:E13"/>
    <mergeCell ref="D14:E14"/>
    <mergeCell ref="B21:E21"/>
    <mergeCell ref="C22:E22"/>
    <mergeCell ref="D23:E23"/>
    <mergeCell ref="D25:E25"/>
    <mergeCell ref="D26:E26"/>
    <mergeCell ref="D16:E16"/>
    <mergeCell ref="D17:E17"/>
    <mergeCell ref="C18:E18"/>
    <mergeCell ref="D19:E19"/>
    <mergeCell ref="D20:E20"/>
    <mergeCell ref="D38:E38"/>
    <mergeCell ref="C28:E28"/>
    <mergeCell ref="B29:E29"/>
    <mergeCell ref="B30:E30"/>
    <mergeCell ref="C31:E31"/>
    <mergeCell ref="D32:E32"/>
    <mergeCell ref="B39:E39"/>
    <mergeCell ref="C40:E40"/>
    <mergeCell ref="D41:E41"/>
    <mergeCell ref="C43:E43"/>
    <mergeCell ref="B44:E44"/>
    <mergeCell ref="C33:E33"/>
    <mergeCell ref="D34:E34"/>
    <mergeCell ref="C35:E35"/>
    <mergeCell ref="D36:E36"/>
    <mergeCell ref="C37:E37"/>
    <mergeCell ref="C56:E56"/>
    <mergeCell ref="C45:E45"/>
    <mergeCell ref="D46:E46"/>
    <mergeCell ref="C47:E47"/>
    <mergeCell ref="C48:E48"/>
    <mergeCell ref="B49:E49"/>
    <mergeCell ref="B50:E50"/>
    <mergeCell ref="C57:E57"/>
    <mergeCell ref="C58:E58"/>
    <mergeCell ref="C59:E59"/>
    <mergeCell ref="C61:E61"/>
    <mergeCell ref="D62:E62"/>
    <mergeCell ref="C51:E51"/>
    <mergeCell ref="C52:E52"/>
    <mergeCell ref="B53:E53"/>
    <mergeCell ref="C54:E54"/>
    <mergeCell ref="C55:E55"/>
    <mergeCell ref="C63:E63"/>
    <mergeCell ref="D64:E64"/>
    <mergeCell ref="B65:E65"/>
    <mergeCell ref="C66:E66"/>
    <mergeCell ref="B67:E67"/>
    <mergeCell ref="C68:E68"/>
    <mergeCell ref="C69:E69"/>
    <mergeCell ref="C70:E70"/>
    <mergeCell ref="D71:E71"/>
    <mergeCell ref="D72:E72"/>
    <mergeCell ref="C73:E73"/>
    <mergeCell ref="C74:E74"/>
    <mergeCell ref="C75:E75"/>
    <mergeCell ref="B76:E76"/>
    <mergeCell ref="C77:E77"/>
    <mergeCell ref="D78:E78"/>
    <mergeCell ref="C80:E80"/>
    <mergeCell ref="D81:E81"/>
    <mergeCell ref="C83:E83"/>
    <mergeCell ref="D84:E84"/>
    <mergeCell ref="D85:E85"/>
    <mergeCell ref="C86:E86"/>
    <mergeCell ref="D87:E87"/>
    <mergeCell ref="D88:E88"/>
    <mergeCell ref="C100:E100"/>
    <mergeCell ref="B89:E89"/>
    <mergeCell ref="C90:E90"/>
    <mergeCell ref="C91:E91"/>
    <mergeCell ref="C92:E92"/>
    <mergeCell ref="C93:E93"/>
    <mergeCell ref="C94:E94"/>
    <mergeCell ref="F8:G8"/>
    <mergeCell ref="D101:E101"/>
    <mergeCell ref="D102:E102"/>
    <mergeCell ref="D103:E103"/>
    <mergeCell ref="C104:E104"/>
    <mergeCell ref="C95:E95"/>
    <mergeCell ref="C96:E96"/>
    <mergeCell ref="B97:E97"/>
    <mergeCell ref="C98:E98"/>
    <mergeCell ref="C99:E99"/>
  </mergeCells>
  <conditionalFormatting sqref="J185:AM186">
    <cfRule type="cellIs" priority="50" dxfId="39" operator="lessThan" stopIfTrue="1">
      <formula>$E$182</formula>
    </cfRule>
    <cfRule type="cellIs" priority="51" dxfId="2" operator="lessThan" stopIfTrue="1">
      <formula>$E$183</formula>
    </cfRule>
    <cfRule type="cellIs" priority="52" dxfId="13" operator="lessThan" stopIfTrue="1">
      <formula>$E$184</formula>
    </cfRule>
  </conditionalFormatting>
  <conditionalFormatting sqref="J187:AM188">
    <cfRule type="cellIs" priority="45" dxfId="39" operator="lessThan" stopIfTrue="1">
      <formula>$E$182</formula>
    </cfRule>
    <cfRule type="cellIs" priority="46" dxfId="2" operator="lessThan" stopIfTrue="1">
      <formula>$E$183</formula>
    </cfRule>
    <cfRule type="cellIs" priority="47" dxfId="13" operator="lessThan" stopIfTrue="1">
      <formula>$E$184</formula>
    </cfRule>
  </conditionalFormatting>
  <conditionalFormatting sqref="J233:AM248">
    <cfRule type="cellIs" priority="6" dxfId="0" operator="equal" stopIfTrue="1">
      <formula>"-"</formula>
    </cfRule>
    <cfRule type="cellIs" priority="81" dxfId="4" operator="between" stopIfTrue="1">
      <formula>0.00000001</formula>
      <formula>1</formula>
    </cfRule>
    <cfRule type="cellIs" priority="82" dxfId="3" operator="greaterThan" stopIfTrue="1">
      <formula>1</formula>
    </cfRule>
  </conditionalFormatting>
  <conditionalFormatting sqref="J250:AM253">
    <cfRule type="cellIs" priority="5" dxfId="0" operator="equal" stopIfTrue="1">
      <formula>"-"</formula>
    </cfRule>
    <cfRule type="cellIs" priority="83" dxfId="4" operator="between" stopIfTrue="1">
      <formula>0.00000001</formula>
      <formula>1</formula>
    </cfRule>
    <cfRule type="cellIs" priority="84" dxfId="3" operator="greaterThan" stopIfTrue="1">
      <formula>1</formula>
    </cfRule>
  </conditionalFormatting>
  <conditionalFormatting sqref="J63:AM64">
    <cfRule type="expression" priority="30" dxfId="40" stopIfTrue="1">
      <formula>LEFT(J63,3)="Nie"</formula>
    </cfRule>
  </conditionalFormatting>
  <conditionalFormatting sqref="J193:AM204">
    <cfRule type="cellIs" priority="7" dxfId="41" operator="notBetween" stopIfTrue="1">
      <formula>-$E$192</formula>
      <formula>$E$192</formula>
    </cfRule>
    <cfRule type="cellIs" priority="91" dxfId="9" operator="notBetween" stopIfTrue="1">
      <formula>-$E$191</formula>
      <formula>$E$191</formula>
    </cfRule>
    <cfRule type="cellIs" priority="92" dxfId="8" operator="notBetween" stopIfTrue="1">
      <formula>-$E$190</formula>
      <formula>$E$190</formula>
    </cfRule>
  </conditionalFormatting>
  <conditionalFormatting sqref="J123:AM123">
    <cfRule type="cellIs" priority="4" dxfId="42" operator="between" stopIfTrue="1">
      <formula>0</formula>
      <formula>1000000000000</formula>
    </cfRule>
  </conditionalFormatting>
  <conditionalFormatting sqref="J124:AM126">
    <cfRule type="cellIs" priority="3" dxfId="42" operator="between" stopIfTrue="1">
      <formula>-1000000000000</formula>
      <formula>1000000000000</formula>
    </cfRule>
  </conditionalFormatting>
  <conditionalFormatting sqref="J121:AM122">
    <cfRule type="cellIs" priority="2" dxfId="43" operator="between" stopIfTrue="1">
      <formula>-1000000000000</formula>
      <formula>1000000000000</formula>
    </cfRule>
  </conditionalFormatting>
  <conditionalFormatting sqref="J127:AM171">
    <cfRule type="cellIs" priority="1" dxfId="1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39" r:id="rId1"/>
  <headerFooter>
    <oddFooter>&amp;L&amp;"Czcionka tekstu podstawowego,Kursywa"&amp;8Wersja szablonu wydruku: 2013-02-25b&amp;C&amp;8Strona &amp;P z &amp;N&amp;R&amp;8Wydruk z dn.: &amp;D - &amp;T</oddFooter>
  </headerFooter>
  <rowBreaks count="2" manualBreakCount="2">
    <brk id="48" max="38" man="1"/>
    <brk id="75" max="38" man="1"/>
  </rowBreaks>
  <colBreaks count="1" manualBreakCount="1">
    <brk id="17" min="6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248" t="str">
        <f>'Zał.1_WPF_bazowy'!E6&amp;" - "&amp;"WPF za lata "&amp;'Zał.1_WPF_bazowy'!E7&amp;" - Nr Uchwały JST: "&amp;'Zał.1_WPF_bazowy'!E5</f>
        <v> - WPF za lata Załącznik Nr 1 do Uchwały  Nr  XXX/228/2013 Rady Gminy w Dobroniu z dnia 18 czerwca 2013 r.  - Nr Uchwały JST: </v>
      </c>
    </row>
    <row r="99" spans="2:9" ht="15">
      <c r="B99" s="3" t="s">
        <v>45</v>
      </c>
      <c r="I99" s="3" t="s">
        <v>45</v>
      </c>
    </row>
    <row r="116" spans="2:9" ht="15">
      <c r="B116" s="3" t="s">
        <v>46</v>
      </c>
      <c r="I116" s="3" t="s">
        <v>46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V253"/>
  <sheetViews>
    <sheetView zoomScale="90" zoomScaleNormal="90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10" sqref="G10"/>
    </sheetView>
  </sheetViews>
  <sheetFormatPr defaultColWidth="8.796875" defaultRowHeight="14.25" outlineLevelRow="3" outlineLevelCol="1"/>
  <cols>
    <col min="1" max="1" width="5.69921875" style="159" bestFit="1" customWidth="1"/>
    <col min="2" max="2" width="16.3984375" style="159" customWidth="1" outlineLevel="1"/>
    <col min="3" max="5" width="1.69921875" style="159" customWidth="1"/>
    <col min="6" max="6" width="44.3984375" style="159" customWidth="1"/>
    <col min="7" max="10" width="14.3984375" style="159" customWidth="1" outlineLevel="1"/>
    <col min="11" max="40" width="14.3984375" style="159" customWidth="1"/>
    <col min="41" max="16384" width="9" style="160" customWidth="1"/>
  </cols>
  <sheetData>
    <row r="1" spans="1:15" ht="14.25" customHeight="1">
      <c r="A1" s="156" t="s">
        <v>448</v>
      </c>
      <c r="B1" s="156"/>
      <c r="C1" s="157"/>
      <c r="D1" s="158"/>
      <c r="E1" s="158"/>
      <c r="F1" s="157"/>
      <c r="G1" s="158"/>
      <c r="H1" s="640" t="s">
        <v>469</v>
      </c>
      <c r="I1" s="640"/>
      <c r="J1" s="640"/>
      <c r="K1" s="640"/>
      <c r="L1" s="640"/>
      <c r="M1" s="640"/>
      <c r="N1" s="640"/>
      <c r="O1" s="640"/>
    </row>
    <row r="2" spans="1:14" ht="14.25">
      <c r="A2" s="156" t="s">
        <v>449</v>
      </c>
      <c r="B2" s="156"/>
      <c r="C2" s="157"/>
      <c r="D2" s="158"/>
      <c r="E2" s="158"/>
      <c r="F2" s="157"/>
      <c r="G2" s="158"/>
      <c r="H2" s="638" t="s">
        <v>470</v>
      </c>
      <c r="I2" s="638"/>
      <c r="J2" s="638"/>
      <c r="K2" s="638"/>
      <c r="L2" s="638"/>
      <c r="M2" s="638"/>
      <c r="N2" s="638"/>
    </row>
    <row r="3" spans="1:15" ht="14.25">
      <c r="A3" s="161" t="s">
        <v>298</v>
      </c>
      <c r="B3" s="156"/>
      <c r="C3" s="157"/>
      <c r="D3" s="158"/>
      <c r="E3" s="158"/>
      <c r="F3" s="157"/>
      <c r="G3" s="158"/>
      <c r="H3" s="639" t="s">
        <v>446</v>
      </c>
      <c r="I3" s="639"/>
      <c r="J3" s="639"/>
      <c r="K3" s="639"/>
      <c r="L3" s="639"/>
      <c r="M3" s="639"/>
      <c r="N3" s="639"/>
      <c r="O3" s="639"/>
    </row>
    <row r="4" spans="2:12" ht="14.25" customHeight="1">
      <c r="B4" s="161"/>
      <c r="C4" s="157"/>
      <c r="D4" s="158"/>
      <c r="E4" s="158"/>
      <c r="F4" s="162"/>
      <c r="G4" s="158"/>
      <c r="H4" s="158"/>
      <c r="I4" s="158"/>
      <c r="J4" s="158"/>
      <c r="K4" s="158"/>
      <c r="L4" s="158"/>
    </row>
    <row r="5" spans="5:256" s="163" customFormat="1" ht="15">
      <c r="E5" s="164" t="s">
        <v>451</v>
      </c>
      <c r="F5" s="165" t="str">
        <f>DaneZrodlowe!B4</f>
        <v>mmmmmmmmm</v>
      </c>
      <c r="H5" s="161"/>
      <c r="I5" s="166"/>
      <c r="J5" s="167" t="str">
        <f>F6&amp;" - "&amp;"WPF za lata "&amp;F7&amp;" - Nr Uchwały JST: "&amp;F5</f>
        <v>DOBROŃ - WPF za lata 2013 - 2020 - Nr Uchwały JST: mmmmmmmmm</v>
      </c>
      <c r="N5" s="158"/>
      <c r="P5" s="162"/>
      <c r="Q5" s="162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  <c r="IR5" s="157"/>
      <c r="IS5" s="157"/>
      <c r="IT5" s="157"/>
      <c r="IU5" s="157"/>
      <c r="IV5" s="157"/>
    </row>
    <row r="6" spans="5:256" s="163" customFormat="1" ht="15">
      <c r="E6" s="164" t="s">
        <v>17</v>
      </c>
      <c r="F6" s="66" t="str">
        <f>DaneZrodlowe!C4</f>
        <v>DOBROŃ</v>
      </c>
      <c r="H6" s="168"/>
      <c r="I6" s="169"/>
      <c r="J6" s="169"/>
      <c r="N6" s="158"/>
      <c r="P6" s="162"/>
      <c r="Q6" s="162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  <c r="IS6" s="157"/>
      <c r="IT6" s="157"/>
      <c r="IU6" s="157"/>
      <c r="IV6" s="157"/>
    </row>
    <row r="7" spans="5:256" s="163" customFormat="1" ht="15">
      <c r="E7" s="170" t="s">
        <v>18</v>
      </c>
      <c r="F7" s="67" t="str">
        <f>CONCATENATE(DaneZrodlowe!M1," - ",DaneZrodlowe!P1)</f>
        <v>2013 - 2020</v>
      </c>
      <c r="I7" s="171"/>
      <c r="J7" s="171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  <c r="IS7" s="157"/>
      <c r="IT7" s="157"/>
      <c r="IU7" s="157"/>
      <c r="IV7" s="157"/>
    </row>
    <row r="8" spans="1:256" s="172" customFormat="1" ht="15.75">
      <c r="A8" s="159"/>
      <c r="B8" s="159"/>
      <c r="D8" s="414"/>
      <c r="E8" s="414"/>
      <c r="F8" s="414"/>
      <c r="G8" s="414"/>
      <c r="H8" s="414"/>
      <c r="I8" s="414"/>
      <c r="J8" s="414"/>
      <c r="K8" s="429">
        <f>""</f>
      </c>
      <c r="L8" s="414"/>
      <c r="M8" s="414"/>
      <c r="N8" s="414"/>
      <c r="O8" s="414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s="182" customFormat="1" ht="28.5" customHeight="1">
      <c r="A9" s="173" t="s">
        <v>0</v>
      </c>
      <c r="B9" s="174" t="s">
        <v>428</v>
      </c>
      <c r="C9" s="656" t="s">
        <v>1</v>
      </c>
      <c r="D9" s="657"/>
      <c r="E9" s="657"/>
      <c r="F9" s="657"/>
      <c r="G9" s="175" t="s">
        <v>294</v>
      </c>
      <c r="H9" s="176" t="s">
        <v>293</v>
      </c>
      <c r="I9" s="176" t="s">
        <v>472</v>
      </c>
      <c r="J9" s="177" t="s">
        <v>292</v>
      </c>
      <c r="K9" s="178">
        <f>+definicja!E9</f>
        <v>2013</v>
      </c>
      <c r="L9" s="179">
        <f>+definicja!F9</f>
        <v>2014</v>
      </c>
      <c r="M9" s="179">
        <f>+definicja!G9</f>
        <v>2015</v>
      </c>
      <c r="N9" s="179">
        <f>+definicja!H9</f>
        <v>2016</v>
      </c>
      <c r="O9" s="179">
        <f>+definicja!I9</f>
        <v>2017</v>
      </c>
      <c r="P9" s="179">
        <f>+definicja!J9</f>
        <v>2018</v>
      </c>
      <c r="Q9" s="179">
        <f>+definicja!K9</f>
        <v>2019</v>
      </c>
      <c r="R9" s="179">
        <f>+definicja!L9</f>
        <v>2020</v>
      </c>
      <c r="S9" s="179">
        <f>+definicja!M9</f>
        <v>2021</v>
      </c>
      <c r="T9" s="179">
        <f>+definicja!N9</f>
        <v>2022</v>
      </c>
      <c r="U9" s="179">
        <f>+definicja!O9</f>
        <v>2023</v>
      </c>
      <c r="V9" s="179">
        <f>+definicja!P9</f>
        <v>2024</v>
      </c>
      <c r="W9" s="179">
        <f>+definicja!Q9</f>
        <v>2025</v>
      </c>
      <c r="X9" s="179">
        <f>+definicja!R9</f>
        <v>2026</v>
      </c>
      <c r="Y9" s="179">
        <f>+definicja!S9</f>
        <v>2027</v>
      </c>
      <c r="Z9" s="179">
        <f>+definicja!T9</f>
        <v>2028</v>
      </c>
      <c r="AA9" s="179">
        <f>+definicja!U9</f>
        <v>2029</v>
      </c>
      <c r="AB9" s="179">
        <f>+definicja!V9</f>
        <v>2030</v>
      </c>
      <c r="AC9" s="179">
        <f>+definicja!W9</f>
        <v>2031</v>
      </c>
      <c r="AD9" s="179">
        <f>+definicja!X9</f>
        <v>2032</v>
      </c>
      <c r="AE9" s="179">
        <f>+definicja!Y9</f>
        <v>2033</v>
      </c>
      <c r="AF9" s="179">
        <f>+definicja!Z9</f>
        <v>2034</v>
      </c>
      <c r="AG9" s="179">
        <f>+definicja!AA9</f>
        <v>2035</v>
      </c>
      <c r="AH9" s="179">
        <f>+definicja!AB9</f>
        <v>2036</v>
      </c>
      <c r="AI9" s="179">
        <f>+definicja!AC9</f>
        <v>2037</v>
      </c>
      <c r="AJ9" s="179">
        <f>+definicja!AD9</f>
        <v>2038</v>
      </c>
      <c r="AK9" s="179">
        <f>+definicja!AE9</f>
        <v>2039</v>
      </c>
      <c r="AL9" s="179">
        <f>+definicja!AF9</f>
        <v>2040</v>
      </c>
      <c r="AM9" s="179">
        <f>+definicja!AG9</f>
        <v>2041</v>
      </c>
      <c r="AN9" s="180">
        <f>+definicja!AH9</f>
        <v>2042</v>
      </c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  <c r="HR9" s="181"/>
      <c r="HS9" s="181"/>
      <c r="HT9" s="181"/>
      <c r="HU9" s="181"/>
      <c r="HV9" s="181"/>
      <c r="HW9" s="181"/>
      <c r="HX9" s="181"/>
      <c r="HY9" s="181"/>
      <c r="HZ9" s="181"/>
      <c r="IA9" s="181"/>
      <c r="IB9" s="181"/>
      <c r="IC9" s="181"/>
      <c r="ID9" s="181"/>
      <c r="IE9" s="181"/>
      <c r="IF9" s="181"/>
      <c r="IG9" s="181"/>
      <c r="IH9" s="181"/>
      <c r="II9" s="181"/>
      <c r="IJ9" s="181"/>
      <c r="IK9" s="181"/>
      <c r="IL9" s="181"/>
      <c r="IM9" s="181"/>
      <c r="IN9" s="181"/>
      <c r="IO9" s="181"/>
      <c r="IP9" s="181"/>
      <c r="IQ9" s="181"/>
      <c r="IR9" s="181"/>
      <c r="IS9" s="181"/>
      <c r="IT9" s="181"/>
      <c r="IU9" s="181"/>
      <c r="IV9" s="181"/>
    </row>
    <row r="10" spans="1:40" s="184" customFormat="1" ht="15" outlineLevel="1">
      <c r="A10" s="183">
        <v>1</v>
      </c>
      <c r="B10" s="350" t="s">
        <v>429</v>
      </c>
      <c r="C10" s="648" t="s">
        <v>26</v>
      </c>
      <c r="D10" s="649"/>
      <c r="E10" s="649"/>
      <c r="F10" s="649"/>
      <c r="G10" s="326">
        <f>'Zał.1_WPF_bazowy'!F10</f>
        <v>17384905.11</v>
      </c>
      <c r="H10" s="327">
        <f>'Zał.1_WPF_bazowy'!G10</f>
        <v>17642423.29</v>
      </c>
      <c r="I10" s="327">
        <f>'Zał.1_WPF_bazowy'!H10</f>
        <v>19217578.4</v>
      </c>
      <c r="J10" s="155">
        <f>+J11+J18</f>
        <v>19501354.62</v>
      </c>
      <c r="K10" s="153">
        <f>+K11+K18</f>
        <v>21004624.6</v>
      </c>
      <c r="L10" s="154">
        <f aca="true" t="shared" si="0" ref="L10:AN10">+L11+L18</f>
        <v>20979227.29</v>
      </c>
      <c r="M10" s="154">
        <f t="shared" si="0"/>
        <v>21600990.4</v>
      </c>
      <c r="N10" s="154">
        <f t="shared" si="0"/>
        <v>22266819.55</v>
      </c>
      <c r="O10" s="154">
        <f t="shared" si="0"/>
        <v>23114445.51</v>
      </c>
      <c r="P10" s="154">
        <f t="shared" si="0"/>
        <v>24015908.89</v>
      </c>
      <c r="Q10" s="154">
        <f t="shared" si="0"/>
        <v>24952529.34</v>
      </c>
      <c r="R10" s="154">
        <f t="shared" si="0"/>
        <v>25925677.98</v>
      </c>
      <c r="S10" s="154">
        <f t="shared" si="0"/>
        <v>0</v>
      </c>
      <c r="T10" s="154">
        <f t="shared" si="0"/>
        <v>0</v>
      </c>
      <c r="U10" s="154">
        <f t="shared" si="0"/>
        <v>0</v>
      </c>
      <c r="V10" s="154">
        <f t="shared" si="0"/>
        <v>0</v>
      </c>
      <c r="W10" s="154">
        <f t="shared" si="0"/>
        <v>0</v>
      </c>
      <c r="X10" s="154">
        <f t="shared" si="0"/>
        <v>0</v>
      </c>
      <c r="Y10" s="154">
        <f t="shared" si="0"/>
        <v>0</v>
      </c>
      <c r="Z10" s="154">
        <f t="shared" si="0"/>
        <v>0</v>
      </c>
      <c r="AA10" s="154">
        <f t="shared" si="0"/>
        <v>0</v>
      </c>
      <c r="AB10" s="154">
        <f t="shared" si="0"/>
        <v>0</v>
      </c>
      <c r="AC10" s="154">
        <f t="shared" si="0"/>
        <v>0</v>
      </c>
      <c r="AD10" s="154">
        <f t="shared" si="0"/>
        <v>0</v>
      </c>
      <c r="AE10" s="154">
        <f t="shared" si="0"/>
        <v>0</v>
      </c>
      <c r="AF10" s="154">
        <f t="shared" si="0"/>
        <v>0</v>
      </c>
      <c r="AG10" s="154">
        <f t="shared" si="0"/>
        <v>0</v>
      </c>
      <c r="AH10" s="154">
        <f t="shared" si="0"/>
        <v>0</v>
      </c>
      <c r="AI10" s="154">
        <f t="shared" si="0"/>
        <v>0</v>
      </c>
      <c r="AJ10" s="154">
        <f t="shared" si="0"/>
        <v>0</v>
      </c>
      <c r="AK10" s="154">
        <f t="shared" si="0"/>
        <v>0</v>
      </c>
      <c r="AL10" s="154">
        <f t="shared" si="0"/>
        <v>0</v>
      </c>
      <c r="AM10" s="154">
        <f t="shared" si="0"/>
        <v>0</v>
      </c>
      <c r="AN10" s="155">
        <f t="shared" si="0"/>
        <v>0</v>
      </c>
    </row>
    <row r="11" spans="1:40" ht="14.25" outlineLevel="2">
      <c r="A11" s="185" t="s">
        <v>168</v>
      </c>
      <c r="B11" s="351"/>
      <c r="C11" s="187"/>
      <c r="D11" s="647" t="s">
        <v>232</v>
      </c>
      <c r="E11" s="647"/>
      <c r="F11" s="647"/>
      <c r="G11" s="328">
        <f>'Zał.1_WPF_bazowy'!F11</f>
        <v>16382877.29</v>
      </c>
      <c r="H11" s="329">
        <f>'Zał.1_WPF_bazowy'!G11</f>
        <v>17470618.27</v>
      </c>
      <c r="I11" s="329">
        <f>'Zał.1_WPF_bazowy'!H11</f>
        <v>18650804.4</v>
      </c>
      <c r="J11" s="430">
        <f>'Zał.1_WPF_bazowy'!I11</f>
        <v>19055099.62</v>
      </c>
      <c r="K11" s="431">
        <f>+'Zał.1_WPF_bazowy'!J11</f>
        <v>20746624.6</v>
      </c>
      <c r="L11" s="432">
        <f>+'Zał.1_WPF_bazowy'!K11</f>
        <v>20949227.29</v>
      </c>
      <c r="M11" s="432">
        <f>+'Zał.1_WPF_bazowy'!L11</f>
        <v>21570990.4</v>
      </c>
      <c r="N11" s="432">
        <f>+'Zał.1_WPF_bazowy'!M11</f>
        <v>22246819.55</v>
      </c>
      <c r="O11" s="432">
        <f>+'Zał.1_WPF_bazowy'!N11</f>
        <v>23114445.51</v>
      </c>
      <c r="P11" s="432">
        <f>+'Zał.1_WPF_bazowy'!O11</f>
        <v>24015908.89</v>
      </c>
      <c r="Q11" s="432">
        <f>+'Zał.1_WPF_bazowy'!P11</f>
        <v>24952529.34</v>
      </c>
      <c r="R11" s="432">
        <f>+'Zał.1_WPF_bazowy'!Q11</f>
        <v>25925677.98</v>
      </c>
      <c r="S11" s="432">
        <f>+'Zał.1_WPF_bazowy'!R11</f>
        <v>0</v>
      </c>
      <c r="T11" s="432">
        <f>+'Zał.1_WPF_bazowy'!S11</f>
        <v>0</v>
      </c>
      <c r="U11" s="432">
        <f>+'Zał.1_WPF_bazowy'!T11</f>
        <v>0</v>
      </c>
      <c r="V11" s="432">
        <f>+'Zał.1_WPF_bazowy'!U11</f>
        <v>0</v>
      </c>
      <c r="W11" s="432">
        <f>+'Zał.1_WPF_bazowy'!V11</f>
        <v>0</v>
      </c>
      <c r="X11" s="432">
        <f>+'Zał.1_WPF_bazowy'!W11</f>
        <v>0</v>
      </c>
      <c r="Y11" s="432">
        <f>+'Zał.1_WPF_bazowy'!X11</f>
        <v>0</v>
      </c>
      <c r="Z11" s="432">
        <f>+'Zał.1_WPF_bazowy'!Y11</f>
        <v>0</v>
      </c>
      <c r="AA11" s="432">
        <f>+'Zał.1_WPF_bazowy'!Z11</f>
        <v>0</v>
      </c>
      <c r="AB11" s="432">
        <f>+'Zał.1_WPF_bazowy'!AA11</f>
        <v>0</v>
      </c>
      <c r="AC11" s="432">
        <f>+'Zał.1_WPF_bazowy'!AB11</f>
        <v>0</v>
      </c>
      <c r="AD11" s="432">
        <f>+'Zał.1_WPF_bazowy'!AC11</f>
        <v>0</v>
      </c>
      <c r="AE11" s="432">
        <f>+'Zał.1_WPF_bazowy'!AD11</f>
        <v>0</v>
      </c>
      <c r="AF11" s="432">
        <f>+'Zał.1_WPF_bazowy'!AE11</f>
        <v>0</v>
      </c>
      <c r="AG11" s="432">
        <f>+'Zał.1_WPF_bazowy'!AF11</f>
        <v>0</v>
      </c>
      <c r="AH11" s="432">
        <f>+'Zał.1_WPF_bazowy'!AG11</f>
        <v>0</v>
      </c>
      <c r="AI11" s="432">
        <f>+'Zał.1_WPF_bazowy'!AH11</f>
        <v>0</v>
      </c>
      <c r="AJ11" s="432">
        <f>+'Zał.1_WPF_bazowy'!AI11</f>
        <v>0</v>
      </c>
      <c r="AK11" s="432">
        <f>+'Zał.1_WPF_bazowy'!AJ11</f>
        <v>0</v>
      </c>
      <c r="AL11" s="432">
        <f>+'Zał.1_WPF_bazowy'!AK11</f>
        <v>0</v>
      </c>
      <c r="AM11" s="432">
        <f>+'Zał.1_WPF_bazowy'!AL11</f>
        <v>0</v>
      </c>
      <c r="AN11" s="433">
        <f>+'Zał.1_WPF_bazowy'!AM11</f>
        <v>0</v>
      </c>
    </row>
    <row r="12" spans="1:40" ht="24" customHeight="1" outlineLevel="2">
      <c r="A12" s="185" t="s">
        <v>48</v>
      </c>
      <c r="B12" s="351"/>
      <c r="C12" s="187"/>
      <c r="D12" s="188"/>
      <c r="E12" s="647" t="s">
        <v>219</v>
      </c>
      <c r="F12" s="647"/>
      <c r="G12" s="328">
        <f>'Zał.1_WPF_bazowy'!F12</f>
        <v>4196006</v>
      </c>
      <c r="H12" s="329">
        <f>'Zał.1_WPF_bazowy'!G12</f>
        <v>4802827</v>
      </c>
      <c r="I12" s="329">
        <f>'Zał.1_WPF_bazowy'!H12</f>
        <v>5087153</v>
      </c>
      <c r="J12" s="430">
        <f>'Zał.1_WPF_bazowy'!I12</f>
        <v>4945951</v>
      </c>
      <c r="K12" s="431">
        <f>+'Zał.1_WPF_bazowy'!J12</f>
        <v>5808504</v>
      </c>
      <c r="L12" s="432">
        <f>+'Zał.1_WPF_bazowy'!K12</f>
        <v>6035035.66</v>
      </c>
      <c r="M12" s="432">
        <f>+'Zał.1_WPF_bazowy'!L12</f>
        <v>6240226.87</v>
      </c>
      <c r="N12" s="432">
        <f>+'Zał.1_WPF_bazowy'!M12</f>
        <v>6483595.72</v>
      </c>
      <c r="O12" s="432">
        <f>+'Zał.1_WPF_bazowy'!N12</f>
        <v>6736455.95</v>
      </c>
      <c r="P12" s="432">
        <f>+'Zał.1_WPF_bazowy'!O12</f>
        <v>6999177.73</v>
      </c>
      <c r="Q12" s="432">
        <f>+'Zał.1_WPF_bazowy'!P12</f>
        <v>7272145.66</v>
      </c>
      <c r="R12" s="432">
        <f>+'Zał.1_WPF_bazowy'!Q12</f>
        <v>7555759.34</v>
      </c>
      <c r="S12" s="432">
        <f>+'Zał.1_WPF_bazowy'!R12</f>
        <v>0</v>
      </c>
      <c r="T12" s="432">
        <f>+'Zał.1_WPF_bazowy'!S12</f>
        <v>0</v>
      </c>
      <c r="U12" s="432">
        <f>+'Zał.1_WPF_bazowy'!T12</f>
        <v>0</v>
      </c>
      <c r="V12" s="432">
        <f>+'Zał.1_WPF_bazowy'!U12</f>
        <v>0</v>
      </c>
      <c r="W12" s="432">
        <f>+'Zał.1_WPF_bazowy'!V12</f>
        <v>0</v>
      </c>
      <c r="X12" s="432">
        <f>+'Zał.1_WPF_bazowy'!W12</f>
        <v>0</v>
      </c>
      <c r="Y12" s="432">
        <f>+'Zał.1_WPF_bazowy'!X12</f>
        <v>0</v>
      </c>
      <c r="Z12" s="432">
        <f>+'Zał.1_WPF_bazowy'!Y12</f>
        <v>0</v>
      </c>
      <c r="AA12" s="432">
        <f>+'Zał.1_WPF_bazowy'!Z12</f>
        <v>0</v>
      </c>
      <c r="AB12" s="432">
        <f>+'Zał.1_WPF_bazowy'!AA12</f>
        <v>0</v>
      </c>
      <c r="AC12" s="432">
        <f>+'Zał.1_WPF_bazowy'!AB12</f>
        <v>0</v>
      </c>
      <c r="AD12" s="432">
        <f>+'Zał.1_WPF_bazowy'!AC12</f>
        <v>0</v>
      </c>
      <c r="AE12" s="432">
        <f>+'Zał.1_WPF_bazowy'!AD12</f>
        <v>0</v>
      </c>
      <c r="AF12" s="432">
        <f>+'Zał.1_WPF_bazowy'!AE12</f>
        <v>0</v>
      </c>
      <c r="AG12" s="432">
        <f>+'Zał.1_WPF_bazowy'!AF12</f>
        <v>0</v>
      </c>
      <c r="AH12" s="432">
        <f>+'Zał.1_WPF_bazowy'!AG12</f>
        <v>0</v>
      </c>
      <c r="AI12" s="432">
        <f>+'Zał.1_WPF_bazowy'!AH12</f>
        <v>0</v>
      </c>
      <c r="AJ12" s="432">
        <f>+'Zał.1_WPF_bazowy'!AI12</f>
        <v>0</v>
      </c>
      <c r="AK12" s="432">
        <f>+'Zał.1_WPF_bazowy'!AJ12</f>
        <v>0</v>
      </c>
      <c r="AL12" s="432">
        <f>+'Zał.1_WPF_bazowy'!AK12</f>
        <v>0</v>
      </c>
      <c r="AM12" s="432">
        <f>+'Zał.1_WPF_bazowy'!AL12</f>
        <v>0</v>
      </c>
      <c r="AN12" s="433">
        <f>+'Zał.1_WPF_bazowy'!AM12</f>
        <v>0</v>
      </c>
    </row>
    <row r="13" spans="1:40" ht="24" customHeight="1" outlineLevel="2">
      <c r="A13" s="185" t="s">
        <v>50</v>
      </c>
      <c r="B13" s="351"/>
      <c r="C13" s="187"/>
      <c r="D13" s="188"/>
      <c r="E13" s="647" t="s">
        <v>220</v>
      </c>
      <c r="F13" s="647"/>
      <c r="G13" s="328">
        <f>'Zał.1_WPF_bazowy'!F13</f>
        <v>21346.49</v>
      </c>
      <c r="H13" s="329">
        <f>'Zał.1_WPF_bazowy'!G13</f>
        <v>-130754.16</v>
      </c>
      <c r="I13" s="329">
        <f>'Zał.1_WPF_bazowy'!H13</f>
        <v>40000</v>
      </c>
      <c r="J13" s="430">
        <f>'Zał.1_WPF_bazowy'!I13</f>
        <v>56520.62</v>
      </c>
      <c r="K13" s="431">
        <f>+'Zał.1_WPF_bazowy'!J13</f>
        <v>55000</v>
      </c>
      <c r="L13" s="432">
        <f>+'Zał.1_WPF_bazowy'!K13</f>
        <v>57145</v>
      </c>
      <c r="M13" s="432">
        <f>+'Zał.1_WPF_bazowy'!L13</f>
        <v>59087.93</v>
      </c>
      <c r="N13" s="432">
        <f>+'Zał.1_WPF_bazowy'!M13</f>
        <v>61392.36</v>
      </c>
      <c r="O13" s="432">
        <f>+'Zał.1_WPF_bazowy'!N13</f>
        <v>63786.66</v>
      </c>
      <c r="P13" s="432">
        <f>+'Zał.1_WPF_bazowy'!O13</f>
        <v>66274.34</v>
      </c>
      <c r="Q13" s="432">
        <f>+'Zał.1_WPF_bazowy'!P13</f>
        <v>68859.04</v>
      </c>
      <c r="R13" s="432">
        <f>+'Zał.1_WPF_bazowy'!Q13</f>
        <v>71544.54</v>
      </c>
      <c r="S13" s="432">
        <f>+'Zał.1_WPF_bazowy'!R13</f>
        <v>0</v>
      </c>
      <c r="T13" s="432">
        <f>+'Zał.1_WPF_bazowy'!S13</f>
        <v>0</v>
      </c>
      <c r="U13" s="432">
        <f>+'Zał.1_WPF_bazowy'!T13</f>
        <v>0</v>
      </c>
      <c r="V13" s="432">
        <f>+'Zał.1_WPF_bazowy'!U13</f>
        <v>0</v>
      </c>
      <c r="W13" s="432">
        <f>+'Zał.1_WPF_bazowy'!V13</f>
        <v>0</v>
      </c>
      <c r="X13" s="432">
        <f>+'Zał.1_WPF_bazowy'!W13</f>
        <v>0</v>
      </c>
      <c r="Y13" s="432">
        <f>+'Zał.1_WPF_bazowy'!X13</f>
        <v>0</v>
      </c>
      <c r="Z13" s="432">
        <f>+'Zał.1_WPF_bazowy'!Y13</f>
        <v>0</v>
      </c>
      <c r="AA13" s="432">
        <f>+'Zał.1_WPF_bazowy'!Z13</f>
        <v>0</v>
      </c>
      <c r="AB13" s="432">
        <f>+'Zał.1_WPF_bazowy'!AA13</f>
        <v>0</v>
      </c>
      <c r="AC13" s="432">
        <f>+'Zał.1_WPF_bazowy'!AB13</f>
        <v>0</v>
      </c>
      <c r="AD13" s="432">
        <f>+'Zał.1_WPF_bazowy'!AC13</f>
        <v>0</v>
      </c>
      <c r="AE13" s="432">
        <f>+'Zał.1_WPF_bazowy'!AD13</f>
        <v>0</v>
      </c>
      <c r="AF13" s="432">
        <f>+'Zał.1_WPF_bazowy'!AE13</f>
        <v>0</v>
      </c>
      <c r="AG13" s="432">
        <f>+'Zał.1_WPF_bazowy'!AF13</f>
        <v>0</v>
      </c>
      <c r="AH13" s="432">
        <f>+'Zał.1_WPF_bazowy'!AG13</f>
        <v>0</v>
      </c>
      <c r="AI13" s="432">
        <f>+'Zał.1_WPF_bazowy'!AH13</f>
        <v>0</v>
      </c>
      <c r="AJ13" s="432">
        <f>+'Zał.1_WPF_bazowy'!AI13</f>
        <v>0</v>
      </c>
      <c r="AK13" s="432">
        <f>+'Zał.1_WPF_bazowy'!AJ13</f>
        <v>0</v>
      </c>
      <c r="AL13" s="432">
        <f>+'Zał.1_WPF_bazowy'!AK13</f>
        <v>0</v>
      </c>
      <c r="AM13" s="432">
        <f>+'Zał.1_WPF_bazowy'!AL13</f>
        <v>0</v>
      </c>
      <c r="AN13" s="433">
        <f>+'Zał.1_WPF_bazowy'!AM13</f>
        <v>0</v>
      </c>
    </row>
    <row r="14" spans="1:40" ht="14.25" outlineLevel="2">
      <c r="A14" s="185" t="s">
        <v>52</v>
      </c>
      <c r="B14" s="351"/>
      <c r="C14" s="187"/>
      <c r="D14" s="188"/>
      <c r="E14" s="647" t="s">
        <v>224</v>
      </c>
      <c r="F14" s="647"/>
      <c r="G14" s="328">
        <f>'Zał.1_WPF_bazowy'!F14</f>
        <v>3145339.71</v>
      </c>
      <c r="H14" s="329">
        <f>'Zał.1_WPF_bazowy'!G14</f>
        <v>3555780.16</v>
      </c>
      <c r="I14" s="329">
        <f>'Zał.1_WPF_bazowy'!H14</f>
        <v>3628692</v>
      </c>
      <c r="J14" s="430">
        <f>'Zał.1_WPF_bazowy'!I14</f>
        <v>4152975.19</v>
      </c>
      <c r="K14" s="431">
        <f>+'Zał.1_WPF_bazowy'!J14</f>
        <v>4503938</v>
      </c>
      <c r="L14" s="432">
        <f>+'Zał.1_WPF_bazowy'!K14</f>
        <v>4636992.58</v>
      </c>
      <c r="M14" s="432">
        <f>+'Zał.1_WPF_bazowy'!L14</f>
        <v>4794650.33</v>
      </c>
      <c r="N14" s="432">
        <f>+'Zał.1_WPF_bazowy'!M14</f>
        <v>4981641.69</v>
      </c>
      <c r="O14" s="432">
        <f>+'Zał.1_WPF_bazowy'!N14</f>
        <v>5175925.72</v>
      </c>
      <c r="P14" s="432">
        <f>+'Zał.1_WPF_bazowy'!O14</f>
        <v>5377786.82</v>
      </c>
      <c r="Q14" s="432">
        <f>+'Zał.1_WPF_bazowy'!P14</f>
        <v>5587520.51</v>
      </c>
      <c r="R14" s="432">
        <f>+'Zał.1_WPF_bazowy'!Q14</f>
        <v>5805433.81</v>
      </c>
      <c r="S14" s="432">
        <f>+'Zał.1_WPF_bazowy'!R14</f>
        <v>0</v>
      </c>
      <c r="T14" s="432">
        <f>+'Zał.1_WPF_bazowy'!S14</f>
        <v>0</v>
      </c>
      <c r="U14" s="432">
        <f>+'Zał.1_WPF_bazowy'!T14</f>
        <v>0</v>
      </c>
      <c r="V14" s="432">
        <f>+'Zał.1_WPF_bazowy'!U14</f>
        <v>0</v>
      </c>
      <c r="W14" s="432">
        <f>+'Zał.1_WPF_bazowy'!V14</f>
        <v>0</v>
      </c>
      <c r="X14" s="432">
        <f>+'Zał.1_WPF_bazowy'!W14</f>
        <v>0</v>
      </c>
      <c r="Y14" s="432">
        <f>+'Zał.1_WPF_bazowy'!X14</f>
        <v>0</v>
      </c>
      <c r="Z14" s="432">
        <f>+'Zał.1_WPF_bazowy'!Y14</f>
        <v>0</v>
      </c>
      <c r="AA14" s="432">
        <f>+'Zał.1_WPF_bazowy'!Z14</f>
        <v>0</v>
      </c>
      <c r="AB14" s="432">
        <f>+'Zał.1_WPF_bazowy'!AA14</f>
        <v>0</v>
      </c>
      <c r="AC14" s="432">
        <f>+'Zał.1_WPF_bazowy'!AB14</f>
        <v>0</v>
      </c>
      <c r="AD14" s="432">
        <f>+'Zał.1_WPF_bazowy'!AC14</f>
        <v>0</v>
      </c>
      <c r="AE14" s="432">
        <f>+'Zał.1_WPF_bazowy'!AD14</f>
        <v>0</v>
      </c>
      <c r="AF14" s="432">
        <f>+'Zał.1_WPF_bazowy'!AE14</f>
        <v>0</v>
      </c>
      <c r="AG14" s="432">
        <f>+'Zał.1_WPF_bazowy'!AF14</f>
        <v>0</v>
      </c>
      <c r="AH14" s="432">
        <f>+'Zał.1_WPF_bazowy'!AG14</f>
        <v>0</v>
      </c>
      <c r="AI14" s="432">
        <f>+'Zał.1_WPF_bazowy'!AH14</f>
        <v>0</v>
      </c>
      <c r="AJ14" s="432">
        <f>+'Zał.1_WPF_bazowy'!AI14</f>
        <v>0</v>
      </c>
      <c r="AK14" s="432">
        <f>+'Zał.1_WPF_bazowy'!AJ14</f>
        <v>0</v>
      </c>
      <c r="AL14" s="432">
        <f>+'Zał.1_WPF_bazowy'!AK14</f>
        <v>0</v>
      </c>
      <c r="AM14" s="432">
        <f>+'Zał.1_WPF_bazowy'!AL14</f>
        <v>0</v>
      </c>
      <c r="AN14" s="433">
        <f>+'Zał.1_WPF_bazowy'!AM14</f>
        <v>0</v>
      </c>
    </row>
    <row r="15" spans="1:40" ht="14.25" customHeight="1" outlineLevel="2">
      <c r="A15" s="185" t="s">
        <v>54</v>
      </c>
      <c r="B15" s="351"/>
      <c r="C15" s="187"/>
      <c r="D15" s="188"/>
      <c r="E15" s="188"/>
      <c r="F15" s="189" t="s">
        <v>221</v>
      </c>
      <c r="G15" s="328">
        <f>'Zał.1_WPF_bazowy'!F15</f>
        <v>2332373.96</v>
      </c>
      <c r="H15" s="329">
        <f>'Zał.1_WPF_bazowy'!G15</f>
        <v>2621259.48</v>
      </c>
      <c r="I15" s="329">
        <f>'Zał.1_WPF_bazowy'!H15</f>
        <v>2701400</v>
      </c>
      <c r="J15" s="430">
        <f>'Zał.1_WPF_bazowy'!I15</f>
        <v>2799117.53</v>
      </c>
      <c r="K15" s="431">
        <f>+'Zał.1_WPF_bazowy'!J15</f>
        <v>2918832</v>
      </c>
      <c r="L15" s="432">
        <f>+'Zał.1_WPF_bazowy'!K15</f>
        <v>3032666.45</v>
      </c>
      <c r="M15" s="432">
        <f>+'Zał.1_WPF_bazowy'!L15</f>
        <v>3135777.11</v>
      </c>
      <c r="N15" s="432">
        <f>+'Zał.1_WPF_bazowy'!M15</f>
        <v>3258072.41</v>
      </c>
      <c r="O15" s="432">
        <f>+'Zał.1_WPF_bazowy'!N15</f>
        <v>3385137.24</v>
      </c>
      <c r="P15" s="432">
        <f>+'Zał.1_WPF_bazowy'!O15</f>
        <v>3517157.59</v>
      </c>
      <c r="Q15" s="432">
        <f>+'Zał.1_WPF_bazowy'!P15</f>
        <v>3654326.74</v>
      </c>
      <c r="R15" s="432">
        <f>+'Zał.1_WPF_bazowy'!Q15</f>
        <v>3796845.48</v>
      </c>
      <c r="S15" s="432">
        <f>+'Zał.1_WPF_bazowy'!R15</f>
        <v>0</v>
      </c>
      <c r="T15" s="432">
        <f>+'Zał.1_WPF_bazowy'!S15</f>
        <v>0</v>
      </c>
      <c r="U15" s="432">
        <f>+'Zał.1_WPF_bazowy'!T15</f>
        <v>0</v>
      </c>
      <c r="V15" s="432">
        <f>+'Zał.1_WPF_bazowy'!U15</f>
        <v>0</v>
      </c>
      <c r="W15" s="432">
        <f>+'Zał.1_WPF_bazowy'!V15</f>
        <v>0</v>
      </c>
      <c r="X15" s="432">
        <f>+'Zał.1_WPF_bazowy'!W15</f>
        <v>0</v>
      </c>
      <c r="Y15" s="432">
        <f>+'Zał.1_WPF_bazowy'!X15</f>
        <v>0</v>
      </c>
      <c r="Z15" s="432">
        <f>+'Zał.1_WPF_bazowy'!Y15</f>
        <v>0</v>
      </c>
      <c r="AA15" s="432">
        <f>+'Zał.1_WPF_bazowy'!Z15</f>
        <v>0</v>
      </c>
      <c r="AB15" s="432">
        <f>+'Zał.1_WPF_bazowy'!AA15</f>
        <v>0</v>
      </c>
      <c r="AC15" s="432">
        <f>+'Zał.1_WPF_bazowy'!AB15</f>
        <v>0</v>
      </c>
      <c r="AD15" s="432">
        <f>+'Zał.1_WPF_bazowy'!AC15</f>
        <v>0</v>
      </c>
      <c r="AE15" s="432">
        <f>+'Zał.1_WPF_bazowy'!AD15</f>
        <v>0</v>
      </c>
      <c r="AF15" s="432">
        <f>+'Zał.1_WPF_bazowy'!AE15</f>
        <v>0</v>
      </c>
      <c r="AG15" s="432">
        <f>+'Zał.1_WPF_bazowy'!AF15</f>
        <v>0</v>
      </c>
      <c r="AH15" s="432">
        <f>+'Zał.1_WPF_bazowy'!AG15</f>
        <v>0</v>
      </c>
      <c r="AI15" s="432">
        <f>+'Zał.1_WPF_bazowy'!AH15</f>
        <v>0</v>
      </c>
      <c r="AJ15" s="432">
        <f>+'Zał.1_WPF_bazowy'!AI15</f>
        <v>0</v>
      </c>
      <c r="AK15" s="432">
        <f>+'Zał.1_WPF_bazowy'!AJ15</f>
        <v>0</v>
      </c>
      <c r="AL15" s="432">
        <f>+'Zał.1_WPF_bazowy'!AK15</f>
        <v>0</v>
      </c>
      <c r="AM15" s="432">
        <f>+'Zał.1_WPF_bazowy'!AL15</f>
        <v>0</v>
      </c>
      <c r="AN15" s="433">
        <f>+'Zał.1_WPF_bazowy'!AM15</f>
        <v>0</v>
      </c>
    </row>
    <row r="16" spans="1:256" s="172" customFormat="1" ht="15" outlineLevel="2" thickBot="1">
      <c r="A16" s="185" t="s">
        <v>56</v>
      </c>
      <c r="B16" s="351"/>
      <c r="C16" s="187"/>
      <c r="D16" s="188"/>
      <c r="E16" s="647" t="s">
        <v>222</v>
      </c>
      <c r="F16" s="647"/>
      <c r="G16" s="328">
        <f>'Zał.1_WPF_bazowy'!F16</f>
        <v>5018941</v>
      </c>
      <c r="H16" s="329">
        <f>'Zał.1_WPF_bazowy'!G16</f>
        <v>5051066</v>
      </c>
      <c r="I16" s="329">
        <f>'Zał.1_WPF_bazowy'!H16</f>
        <v>5672702</v>
      </c>
      <c r="J16" s="430">
        <f>'Zał.1_WPF_bazowy'!I16</f>
        <v>5761394</v>
      </c>
      <c r="K16" s="431">
        <f>+'Zał.1_WPF_bazowy'!J16</f>
        <v>5830045</v>
      </c>
      <c r="L16" s="432">
        <f>+'Zał.1_WPF_bazowy'!K16</f>
        <v>6020263.15</v>
      </c>
      <c r="M16" s="432">
        <f>+'Zał.1_WPF_bazowy'!L16</f>
        <v>6224952.1</v>
      </c>
      <c r="N16" s="432">
        <f>+'Zał.1_WPF_bazowy'!M16</f>
        <v>6467725.23</v>
      </c>
      <c r="O16" s="432">
        <f>+'Zał.1_WPF_bazowy'!N16</f>
        <v>6719966.52</v>
      </c>
      <c r="P16" s="432">
        <f>+'Zał.1_WPF_bazowy'!O16</f>
        <v>6982045.21</v>
      </c>
      <c r="Q16" s="432">
        <f>+'Zał.1_WPF_bazowy'!P16</f>
        <v>7254344.97</v>
      </c>
      <c r="R16" s="432">
        <f>+'Zał.1_WPF_bazowy'!Q16</f>
        <v>7537264.43</v>
      </c>
      <c r="S16" s="432">
        <f>+'Zał.1_WPF_bazowy'!R16</f>
        <v>0</v>
      </c>
      <c r="T16" s="432">
        <f>+'Zał.1_WPF_bazowy'!S16</f>
        <v>0</v>
      </c>
      <c r="U16" s="432">
        <f>+'Zał.1_WPF_bazowy'!T16</f>
        <v>0</v>
      </c>
      <c r="V16" s="432">
        <f>+'Zał.1_WPF_bazowy'!U16</f>
        <v>0</v>
      </c>
      <c r="W16" s="432">
        <f>+'Zał.1_WPF_bazowy'!V16</f>
        <v>0</v>
      </c>
      <c r="X16" s="432">
        <f>+'Zał.1_WPF_bazowy'!W16</f>
        <v>0</v>
      </c>
      <c r="Y16" s="432">
        <f>+'Zał.1_WPF_bazowy'!X16</f>
        <v>0</v>
      </c>
      <c r="Z16" s="432">
        <f>+'Zał.1_WPF_bazowy'!Y16</f>
        <v>0</v>
      </c>
      <c r="AA16" s="432">
        <f>+'Zał.1_WPF_bazowy'!Z16</f>
        <v>0</v>
      </c>
      <c r="AB16" s="432">
        <f>+'Zał.1_WPF_bazowy'!AA16</f>
        <v>0</v>
      </c>
      <c r="AC16" s="432">
        <f>+'Zał.1_WPF_bazowy'!AB16</f>
        <v>0</v>
      </c>
      <c r="AD16" s="432">
        <f>+'Zał.1_WPF_bazowy'!AC16</f>
        <v>0</v>
      </c>
      <c r="AE16" s="432">
        <f>+'Zał.1_WPF_bazowy'!AD16</f>
        <v>0</v>
      </c>
      <c r="AF16" s="432">
        <f>+'Zał.1_WPF_bazowy'!AE16</f>
        <v>0</v>
      </c>
      <c r="AG16" s="432">
        <f>+'Zał.1_WPF_bazowy'!AF16</f>
        <v>0</v>
      </c>
      <c r="AH16" s="432">
        <f>+'Zał.1_WPF_bazowy'!AG16</f>
        <v>0</v>
      </c>
      <c r="AI16" s="432">
        <f>+'Zał.1_WPF_bazowy'!AH16</f>
        <v>0</v>
      </c>
      <c r="AJ16" s="432">
        <f>+'Zał.1_WPF_bazowy'!AI16</f>
        <v>0</v>
      </c>
      <c r="AK16" s="432">
        <f>+'Zał.1_WPF_bazowy'!AJ16</f>
        <v>0</v>
      </c>
      <c r="AL16" s="432">
        <f>+'Zał.1_WPF_bazowy'!AK16</f>
        <v>0</v>
      </c>
      <c r="AM16" s="432">
        <f>+'Zał.1_WPF_bazowy'!AL16</f>
        <v>0</v>
      </c>
      <c r="AN16" s="433">
        <f>+'Zał.1_WPF_bazowy'!AM16</f>
        <v>0</v>
      </c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  <c r="HX16" s="160"/>
      <c r="HY16" s="160"/>
      <c r="HZ16" s="160"/>
      <c r="IA16" s="160"/>
      <c r="IB16" s="160"/>
      <c r="IC16" s="160"/>
      <c r="ID16" s="160"/>
      <c r="IE16" s="160"/>
      <c r="IF16" s="160"/>
      <c r="IG16" s="160"/>
      <c r="IH16" s="160"/>
      <c r="II16" s="160"/>
      <c r="IJ16" s="160"/>
      <c r="IK16" s="160"/>
      <c r="IL16" s="160"/>
      <c r="IM16" s="160"/>
      <c r="IN16" s="160"/>
      <c r="IO16" s="160"/>
      <c r="IP16" s="160"/>
      <c r="IQ16" s="160"/>
      <c r="IR16" s="160"/>
      <c r="IS16" s="160"/>
      <c r="IT16" s="160"/>
      <c r="IU16" s="160"/>
      <c r="IV16" s="160"/>
    </row>
    <row r="17" spans="1:256" s="190" customFormat="1" ht="14.25" outlineLevel="2">
      <c r="A17" s="185" t="s">
        <v>58</v>
      </c>
      <c r="B17" s="351"/>
      <c r="C17" s="187"/>
      <c r="D17" s="188"/>
      <c r="E17" s="647" t="s">
        <v>223</v>
      </c>
      <c r="F17" s="647"/>
      <c r="G17" s="328">
        <f>'Zał.1_WPF_bazowy'!F17</f>
        <v>2496222.69</v>
      </c>
      <c r="H17" s="329">
        <f>'Zał.1_WPF_bazowy'!G17</f>
        <v>2345365.64</v>
      </c>
      <c r="I17" s="329">
        <f>'Zał.1_WPF_bazowy'!H17</f>
        <v>2463465.4</v>
      </c>
      <c r="J17" s="430">
        <f>'Zał.1_WPF_bazowy'!I17</f>
        <v>2343158.4</v>
      </c>
      <c r="K17" s="431">
        <f>+'Zał.1_WPF_bazowy'!J17</f>
        <v>2947193.12</v>
      </c>
      <c r="L17" s="432">
        <f>+'Zał.1_WPF_bazowy'!K17</f>
        <v>2558334.02</v>
      </c>
      <c r="M17" s="432">
        <f>+'Zał.1_WPF_bazowy'!L17</f>
        <v>2554806.76</v>
      </c>
      <c r="N17" s="432">
        <f>+'Zał.1_WPF_bazowy'!M17</f>
        <v>2489004.75</v>
      </c>
      <c r="O17" s="432">
        <f>+'Zał.1_WPF_bazowy'!N17</f>
        <v>2586075.93</v>
      </c>
      <c r="P17" s="432">
        <f>+'Zał.1_WPF_bazowy'!O17</f>
        <v>2686932.9</v>
      </c>
      <c r="Q17" s="432">
        <f>+'Zał.1_WPF_bazowy'!P17</f>
        <v>2791723.28</v>
      </c>
      <c r="R17" s="432">
        <f>+'Zał.1_WPF_bazowy'!Q17</f>
        <v>2900600.49</v>
      </c>
      <c r="S17" s="432">
        <f>+'Zał.1_WPF_bazowy'!R17</f>
        <v>0</v>
      </c>
      <c r="T17" s="432">
        <f>+'Zał.1_WPF_bazowy'!S17</f>
        <v>0</v>
      </c>
      <c r="U17" s="432">
        <f>+'Zał.1_WPF_bazowy'!T17</f>
        <v>0</v>
      </c>
      <c r="V17" s="432">
        <f>+'Zał.1_WPF_bazowy'!U17</f>
        <v>0</v>
      </c>
      <c r="W17" s="432">
        <f>+'Zał.1_WPF_bazowy'!V17</f>
        <v>0</v>
      </c>
      <c r="X17" s="432">
        <f>+'Zał.1_WPF_bazowy'!W17</f>
        <v>0</v>
      </c>
      <c r="Y17" s="432">
        <f>+'Zał.1_WPF_bazowy'!X17</f>
        <v>0</v>
      </c>
      <c r="Z17" s="432">
        <f>+'Zał.1_WPF_bazowy'!Y17</f>
        <v>0</v>
      </c>
      <c r="AA17" s="432">
        <f>+'Zał.1_WPF_bazowy'!Z17</f>
        <v>0</v>
      </c>
      <c r="AB17" s="432">
        <f>+'Zał.1_WPF_bazowy'!AA17</f>
        <v>0</v>
      </c>
      <c r="AC17" s="432">
        <f>+'Zał.1_WPF_bazowy'!AB17</f>
        <v>0</v>
      </c>
      <c r="AD17" s="432">
        <f>+'Zał.1_WPF_bazowy'!AC17</f>
        <v>0</v>
      </c>
      <c r="AE17" s="432">
        <f>+'Zał.1_WPF_bazowy'!AD17</f>
        <v>0</v>
      </c>
      <c r="AF17" s="432">
        <f>+'Zał.1_WPF_bazowy'!AE17</f>
        <v>0</v>
      </c>
      <c r="AG17" s="432">
        <f>+'Zał.1_WPF_bazowy'!AF17</f>
        <v>0</v>
      </c>
      <c r="AH17" s="432">
        <f>+'Zał.1_WPF_bazowy'!AG17</f>
        <v>0</v>
      </c>
      <c r="AI17" s="432">
        <f>+'Zał.1_WPF_bazowy'!AH17</f>
        <v>0</v>
      </c>
      <c r="AJ17" s="432">
        <f>+'Zał.1_WPF_bazowy'!AI17</f>
        <v>0</v>
      </c>
      <c r="AK17" s="432">
        <f>+'Zał.1_WPF_bazowy'!AJ17</f>
        <v>0</v>
      </c>
      <c r="AL17" s="432">
        <f>+'Zał.1_WPF_bazowy'!AK17</f>
        <v>0</v>
      </c>
      <c r="AM17" s="432">
        <f>+'Zał.1_WPF_bazowy'!AL17</f>
        <v>0</v>
      </c>
      <c r="AN17" s="433">
        <f>+'Zał.1_WPF_bazowy'!AM17</f>
        <v>0</v>
      </c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  <c r="IH17" s="160"/>
      <c r="II17" s="160"/>
      <c r="IJ17" s="160"/>
      <c r="IK17" s="160"/>
      <c r="IL17" s="160"/>
      <c r="IM17" s="160"/>
      <c r="IN17" s="160"/>
      <c r="IO17" s="160"/>
      <c r="IP17" s="160"/>
      <c r="IQ17" s="160"/>
      <c r="IR17" s="160"/>
      <c r="IS17" s="160"/>
      <c r="IT17" s="160"/>
      <c r="IU17" s="160"/>
      <c r="IV17" s="160"/>
    </row>
    <row r="18" spans="1:40" ht="14.25" outlineLevel="2">
      <c r="A18" s="185" t="s">
        <v>169</v>
      </c>
      <c r="B18" s="351"/>
      <c r="C18" s="187"/>
      <c r="D18" s="647" t="s">
        <v>29</v>
      </c>
      <c r="E18" s="647"/>
      <c r="F18" s="647"/>
      <c r="G18" s="328">
        <f>'Zał.1_WPF_bazowy'!F18</f>
        <v>1002027.82</v>
      </c>
      <c r="H18" s="329">
        <f>'Zał.1_WPF_bazowy'!G18</f>
        <v>171805.02</v>
      </c>
      <c r="I18" s="329">
        <f>'Zał.1_WPF_bazowy'!H18</f>
        <v>566774</v>
      </c>
      <c r="J18" s="430">
        <f>'Zał.1_WPF_bazowy'!I18</f>
        <v>446255</v>
      </c>
      <c r="K18" s="431">
        <f>+'Zał.1_WPF_bazowy'!J18</f>
        <v>258000</v>
      </c>
      <c r="L18" s="432">
        <f>+'Zał.1_WPF_bazowy'!K18</f>
        <v>30000</v>
      </c>
      <c r="M18" s="432">
        <f>+'Zał.1_WPF_bazowy'!L18</f>
        <v>30000</v>
      </c>
      <c r="N18" s="432">
        <f>+'Zał.1_WPF_bazowy'!M18</f>
        <v>20000</v>
      </c>
      <c r="O18" s="432">
        <f>+'Zał.1_WPF_bazowy'!N18</f>
        <v>0</v>
      </c>
      <c r="P18" s="432">
        <f>+'Zał.1_WPF_bazowy'!O18</f>
        <v>0</v>
      </c>
      <c r="Q18" s="432">
        <f>+'Zał.1_WPF_bazowy'!P18</f>
        <v>0</v>
      </c>
      <c r="R18" s="432">
        <f>+'Zał.1_WPF_bazowy'!Q18</f>
        <v>0</v>
      </c>
      <c r="S18" s="432">
        <f>+'Zał.1_WPF_bazowy'!R18</f>
        <v>0</v>
      </c>
      <c r="T18" s="432">
        <f>+'Zał.1_WPF_bazowy'!S18</f>
        <v>0</v>
      </c>
      <c r="U18" s="432">
        <f>+'Zał.1_WPF_bazowy'!T18</f>
        <v>0</v>
      </c>
      <c r="V18" s="432">
        <f>+'Zał.1_WPF_bazowy'!U18</f>
        <v>0</v>
      </c>
      <c r="W18" s="432">
        <f>+'Zał.1_WPF_bazowy'!V18</f>
        <v>0</v>
      </c>
      <c r="X18" s="432">
        <f>+'Zał.1_WPF_bazowy'!W18</f>
        <v>0</v>
      </c>
      <c r="Y18" s="432">
        <f>+'Zał.1_WPF_bazowy'!X18</f>
        <v>0</v>
      </c>
      <c r="Z18" s="432">
        <f>+'Zał.1_WPF_bazowy'!Y18</f>
        <v>0</v>
      </c>
      <c r="AA18" s="432">
        <f>+'Zał.1_WPF_bazowy'!Z18</f>
        <v>0</v>
      </c>
      <c r="AB18" s="432">
        <f>+'Zał.1_WPF_bazowy'!AA18</f>
        <v>0</v>
      </c>
      <c r="AC18" s="432">
        <f>+'Zał.1_WPF_bazowy'!AB18</f>
        <v>0</v>
      </c>
      <c r="AD18" s="432">
        <f>+'Zał.1_WPF_bazowy'!AC18</f>
        <v>0</v>
      </c>
      <c r="AE18" s="432">
        <f>+'Zał.1_WPF_bazowy'!AD18</f>
        <v>0</v>
      </c>
      <c r="AF18" s="432">
        <f>+'Zał.1_WPF_bazowy'!AE18</f>
        <v>0</v>
      </c>
      <c r="AG18" s="432">
        <f>+'Zał.1_WPF_bazowy'!AF18</f>
        <v>0</v>
      </c>
      <c r="AH18" s="432">
        <f>+'Zał.1_WPF_bazowy'!AG18</f>
        <v>0</v>
      </c>
      <c r="AI18" s="432">
        <f>+'Zał.1_WPF_bazowy'!AH18</f>
        <v>0</v>
      </c>
      <c r="AJ18" s="432">
        <f>+'Zał.1_WPF_bazowy'!AI18</f>
        <v>0</v>
      </c>
      <c r="AK18" s="432">
        <f>+'Zał.1_WPF_bazowy'!AJ18</f>
        <v>0</v>
      </c>
      <c r="AL18" s="432">
        <f>+'Zał.1_WPF_bazowy'!AK18</f>
        <v>0</v>
      </c>
      <c r="AM18" s="432">
        <f>+'Zał.1_WPF_bazowy'!AL18</f>
        <v>0</v>
      </c>
      <c r="AN18" s="433">
        <f>+'Zał.1_WPF_bazowy'!AM18</f>
        <v>0</v>
      </c>
    </row>
    <row r="19" spans="1:40" ht="14.25" outlineLevel="2">
      <c r="A19" s="185" t="s">
        <v>61</v>
      </c>
      <c r="B19" s="351"/>
      <c r="C19" s="187"/>
      <c r="D19" s="188"/>
      <c r="E19" s="647" t="s">
        <v>30</v>
      </c>
      <c r="F19" s="647"/>
      <c r="G19" s="328">
        <f>'Zał.1_WPF_bazowy'!F19</f>
        <v>52388.02</v>
      </c>
      <c r="H19" s="329">
        <f>'Zał.1_WPF_bazowy'!G19</f>
        <v>14482.02</v>
      </c>
      <c r="I19" s="329">
        <f>'Zał.1_WPF_bazowy'!H19</f>
        <v>135000</v>
      </c>
      <c r="J19" s="430">
        <f>'Zał.1_WPF_bazowy'!I19</f>
        <v>0</v>
      </c>
      <c r="K19" s="431">
        <f>+'Zał.1_WPF_bazowy'!J19</f>
        <v>45000</v>
      </c>
      <c r="L19" s="432">
        <f>+'Zał.1_WPF_bazowy'!K19</f>
        <v>0</v>
      </c>
      <c r="M19" s="432">
        <f>+'Zał.1_WPF_bazowy'!L19</f>
        <v>0</v>
      </c>
      <c r="N19" s="432">
        <f>+'Zał.1_WPF_bazowy'!M19</f>
        <v>0</v>
      </c>
      <c r="O19" s="432">
        <f>+'Zał.1_WPF_bazowy'!N19</f>
        <v>0</v>
      </c>
      <c r="P19" s="432">
        <f>+'Zał.1_WPF_bazowy'!O19</f>
        <v>0</v>
      </c>
      <c r="Q19" s="432">
        <f>+'Zał.1_WPF_bazowy'!P19</f>
        <v>0</v>
      </c>
      <c r="R19" s="432">
        <f>+'Zał.1_WPF_bazowy'!Q19</f>
        <v>0</v>
      </c>
      <c r="S19" s="432">
        <f>+'Zał.1_WPF_bazowy'!R19</f>
        <v>0</v>
      </c>
      <c r="T19" s="432">
        <f>+'Zał.1_WPF_bazowy'!S19</f>
        <v>0</v>
      </c>
      <c r="U19" s="432">
        <f>+'Zał.1_WPF_bazowy'!T19</f>
        <v>0</v>
      </c>
      <c r="V19" s="432">
        <f>+'Zał.1_WPF_bazowy'!U19</f>
        <v>0</v>
      </c>
      <c r="W19" s="432">
        <f>+'Zał.1_WPF_bazowy'!V19</f>
        <v>0</v>
      </c>
      <c r="X19" s="432">
        <f>+'Zał.1_WPF_bazowy'!W19</f>
        <v>0</v>
      </c>
      <c r="Y19" s="432">
        <f>+'Zał.1_WPF_bazowy'!X19</f>
        <v>0</v>
      </c>
      <c r="Z19" s="432">
        <f>+'Zał.1_WPF_bazowy'!Y19</f>
        <v>0</v>
      </c>
      <c r="AA19" s="432">
        <f>+'Zał.1_WPF_bazowy'!Z19</f>
        <v>0</v>
      </c>
      <c r="AB19" s="432">
        <f>+'Zał.1_WPF_bazowy'!AA19</f>
        <v>0</v>
      </c>
      <c r="AC19" s="432">
        <f>+'Zał.1_WPF_bazowy'!AB19</f>
        <v>0</v>
      </c>
      <c r="AD19" s="432">
        <f>+'Zał.1_WPF_bazowy'!AC19</f>
        <v>0</v>
      </c>
      <c r="AE19" s="432">
        <f>+'Zał.1_WPF_bazowy'!AD19</f>
        <v>0</v>
      </c>
      <c r="AF19" s="432">
        <f>+'Zał.1_WPF_bazowy'!AE19</f>
        <v>0</v>
      </c>
      <c r="AG19" s="432">
        <f>+'Zał.1_WPF_bazowy'!AF19</f>
        <v>0</v>
      </c>
      <c r="AH19" s="432">
        <f>+'Zał.1_WPF_bazowy'!AG19</f>
        <v>0</v>
      </c>
      <c r="AI19" s="432">
        <f>+'Zał.1_WPF_bazowy'!AH19</f>
        <v>0</v>
      </c>
      <c r="AJ19" s="432">
        <f>+'Zał.1_WPF_bazowy'!AI19</f>
        <v>0</v>
      </c>
      <c r="AK19" s="432">
        <f>+'Zał.1_WPF_bazowy'!AJ19</f>
        <v>0</v>
      </c>
      <c r="AL19" s="432">
        <f>+'Zał.1_WPF_bazowy'!AK19</f>
        <v>0</v>
      </c>
      <c r="AM19" s="432">
        <f>+'Zał.1_WPF_bazowy'!AL19</f>
        <v>0</v>
      </c>
      <c r="AN19" s="433">
        <f>+'Zał.1_WPF_bazowy'!AM19</f>
        <v>0</v>
      </c>
    </row>
    <row r="20" spans="1:40" ht="14.25" outlineLevel="2">
      <c r="A20" s="185" t="s">
        <v>63</v>
      </c>
      <c r="B20" s="351"/>
      <c r="C20" s="187"/>
      <c r="D20" s="188"/>
      <c r="E20" s="647" t="s">
        <v>225</v>
      </c>
      <c r="F20" s="647"/>
      <c r="G20" s="328">
        <f>'Zał.1_WPF_bazowy'!F20</f>
        <v>949639.8</v>
      </c>
      <c r="H20" s="329">
        <f>'Zał.1_WPF_bazowy'!G20</f>
        <v>157323</v>
      </c>
      <c r="I20" s="329">
        <f>'Zał.1_WPF_bazowy'!H20</f>
        <v>431774</v>
      </c>
      <c r="J20" s="430">
        <f>'Zał.1_WPF_bazowy'!I20</f>
        <v>446255</v>
      </c>
      <c r="K20" s="431">
        <f>+'Zał.1_WPF_bazowy'!J20</f>
        <v>213000</v>
      </c>
      <c r="L20" s="432">
        <f>+'Zał.1_WPF_bazowy'!K20</f>
        <v>0</v>
      </c>
      <c r="M20" s="432">
        <f>+'Zał.1_WPF_bazowy'!L20</f>
        <v>0</v>
      </c>
      <c r="N20" s="432">
        <f>+'Zał.1_WPF_bazowy'!M20</f>
        <v>0</v>
      </c>
      <c r="O20" s="432">
        <f>+'Zał.1_WPF_bazowy'!N20</f>
        <v>0</v>
      </c>
      <c r="P20" s="432">
        <f>+'Zał.1_WPF_bazowy'!O20</f>
        <v>0</v>
      </c>
      <c r="Q20" s="432">
        <f>+'Zał.1_WPF_bazowy'!P20</f>
        <v>0</v>
      </c>
      <c r="R20" s="432">
        <f>+'Zał.1_WPF_bazowy'!Q20</f>
        <v>0</v>
      </c>
      <c r="S20" s="432">
        <f>+'Zał.1_WPF_bazowy'!R20</f>
        <v>0</v>
      </c>
      <c r="T20" s="432">
        <f>+'Zał.1_WPF_bazowy'!S20</f>
        <v>0</v>
      </c>
      <c r="U20" s="432">
        <f>+'Zał.1_WPF_bazowy'!T20</f>
        <v>0</v>
      </c>
      <c r="V20" s="432">
        <f>+'Zał.1_WPF_bazowy'!U20</f>
        <v>0</v>
      </c>
      <c r="W20" s="432">
        <f>+'Zał.1_WPF_bazowy'!V20</f>
        <v>0</v>
      </c>
      <c r="X20" s="432">
        <f>+'Zał.1_WPF_bazowy'!W20</f>
        <v>0</v>
      </c>
      <c r="Y20" s="432">
        <f>+'Zał.1_WPF_bazowy'!X20</f>
        <v>0</v>
      </c>
      <c r="Z20" s="432">
        <f>+'Zał.1_WPF_bazowy'!Y20</f>
        <v>0</v>
      </c>
      <c r="AA20" s="432">
        <f>+'Zał.1_WPF_bazowy'!Z20</f>
        <v>0</v>
      </c>
      <c r="AB20" s="432">
        <f>+'Zał.1_WPF_bazowy'!AA20</f>
        <v>0</v>
      </c>
      <c r="AC20" s="432">
        <f>+'Zał.1_WPF_bazowy'!AB20</f>
        <v>0</v>
      </c>
      <c r="AD20" s="432">
        <f>+'Zał.1_WPF_bazowy'!AC20</f>
        <v>0</v>
      </c>
      <c r="AE20" s="432">
        <f>+'Zał.1_WPF_bazowy'!AD20</f>
        <v>0</v>
      </c>
      <c r="AF20" s="432">
        <f>+'Zał.1_WPF_bazowy'!AE20</f>
        <v>0</v>
      </c>
      <c r="AG20" s="432">
        <f>+'Zał.1_WPF_bazowy'!AF20</f>
        <v>0</v>
      </c>
      <c r="AH20" s="432">
        <f>+'Zał.1_WPF_bazowy'!AG20</f>
        <v>0</v>
      </c>
      <c r="AI20" s="432">
        <f>+'Zał.1_WPF_bazowy'!AH20</f>
        <v>0</v>
      </c>
      <c r="AJ20" s="432">
        <f>+'Zał.1_WPF_bazowy'!AI20</f>
        <v>0</v>
      </c>
      <c r="AK20" s="432">
        <f>+'Zał.1_WPF_bazowy'!AJ20</f>
        <v>0</v>
      </c>
      <c r="AL20" s="432">
        <f>+'Zał.1_WPF_bazowy'!AK20</f>
        <v>0</v>
      </c>
      <c r="AM20" s="432">
        <f>+'Zał.1_WPF_bazowy'!AL20</f>
        <v>0</v>
      </c>
      <c r="AN20" s="433">
        <f>+'Zał.1_WPF_bazowy'!AM20</f>
        <v>0</v>
      </c>
    </row>
    <row r="21" spans="1:40" s="184" customFormat="1" ht="15" outlineLevel="1">
      <c r="A21" s="183">
        <v>2</v>
      </c>
      <c r="B21" s="350" t="s">
        <v>430</v>
      </c>
      <c r="C21" s="648" t="s">
        <v>21</v>
      </c>
      <c r="D21" s="649"/>
      <c r="E21" s="649"/>
      <c r="F21" s="649"/>
      <c r="G21" s="326">
        <f>'Zał.1_WPF_bazowy'!F21</f>
        <v>18629353.13</v>
      </c>
      <c r="H21" s="327">
        <f>'Zał.1_WPF_bazowy'!G21</f>
        <v>17272723.47</v>
      </c>
      <c r="I21" s="327">
        <f>'Zał.1_WPF_bazowy'!H21</f>
        <v>20320503.4</v>
      </c>
      <c r="J21" s="155">
        <f>+J22+J28</f>
        <v>18374916.42</v>
      </c>
      <c r="K21" s="153">
        <f>+K22+K28</f>
        <v>22293445.6</v>
      </c>
      <c r="L21" s="154">
        <f aca="true" t="shared" si="1" ref="L21:AN21">+L22+L28</f>
        <v>20771928.99</v>
      </c>
      <c r="M21" s="154">
        <f t="shared" si="1"/>
        <v>20774990.400000002</v>
      </c>
      <c r="N21" s="154">
        <f t="shared" si="1"/>
        <v>21216819.55</v>
      </c>
      <c r="O21" s="154">
        <f t="shared" si="1"/>
        <v>21964445.51</v>
      </c>
      <c r="P21" s="154">
        <f t="shared" si="1"/>
        <v>22891987.89</v>
      </c>
      <c r="Q21" s="154">
        <f t="shared" si="1"/>
        <v>23952529.34</v>
      </c>
      <c r="R21" s="154">
        <f t="shared" si="1"/>
        <v>25676181.520000003</v>
      </c>
      <c r="S21" s="154">
        <f t="shared" si="1"/>
        <v>0</v>
      </c>
      <c r="T21" s="154">
        <f t="shared" si="1"/>
        <v>0</v>
      </c>
      <c r="U21" s="154">
        <f t="shared" si="1"/>
        <v>0</v>
      </c>
      <c r="V21" s="154">
        <f t="shared" si="1"/>
        <v>0</v>
      </c>
      <c r="W21" s="154">
        <f t="shared" si="1"/>
        <v>0</v>
      </c>
      <c r="X21" s="154">
        <f t="shared" si="1"/>
        <v>0</v>
      </c>
      <c r="Y21" s="154">
        <f t="shared" si="1"/>
        <v>0</v>
      </c>
      <c r="Z21" s="154">
        <f t="shared" si="1"/>
        <v>0</v>
      </c>
      <c r="AA21" s="154">
        <f t="shared" si="1"/>
        <v>0</v>
      </c>
      <c r="AB21" s="154">
        <f t="shared" si="1"/>
        <v>0</v>
      </c>
      <c r="AC21" s="154">
        <f t="shared" si="1"/>
        <v>0</v>
      </c>
      <c r="AD21" s="154">
        <f t="shared" si="1"/>
        <v>0</v>
      </c>
      <c r="AE21" s="154">
        <f t="shared" si="1"/>
        <v>0</v>
      </c>
      <c r="AF21" s="154">
        <f t="shared" si="1"/>
        <v>0</v>
      </c>
      <c r="AG21" s="154">
        <f t="shared" si="1"/>
        <v>0</v>
      </c>
      <c r="AH21" s="154">
        <f t="shared" si="1"/>
        <v>0</v>
      </c>
      <c r="AI21" s="154">
        <f t="shared" si="1"/>
        <v>0</v>
      </c>
      <c r="AJ21" s="154">
        <f t="shared" si="1"/>
        <v>0</v>
      </c>
      <c r="AK21" s="154">
        <f t="shared" si="1"/>
        <v>0</v>
      </c>
      <c r="AL21" s="154">
        <f t="shared" si="1"/>
        <v>0</v>
      </c>
      <c r="AM21" s="154">
        <f t="shared" si="1"/>
        <v>0</v>
      </c>
      <c r="AN21" s="155">
        <f t="shared" si="1"/>
        <v>0</v>
      </c>
    </row>
    <row r="22" spans="1:40" ht="14.25" outlineLevel="2">
      <c r="A22" s="185" t="s">
        <v>170</v>
      </c>
      <c r="B22" s="351"/>
      <c r="C22" s="187"/>
      <c r="D22" s="647" t="s">
        <v>226</v>
      </c>
      <c r="E22" s="647"/>
      <c r="F22" s="647"/>
      <c r="G22" s="328">
        <f>'Zał.1_WPF_bazowy'!F22</f>
        <v>15346594.47</v>
      </c>
      <c r="H22" s="329">
        <f>'Zał.1_WPF_bazowy'!G22</f>
        <v>15872280.15</v>
      </c>
      <c r="I22" s="329">
        <f>'Zał.1_WPF_bazowy'!H22</f>
        <v>18580553.4</v>
      </c>
      <c r="J22" s="430">
        <f>'Zał.1_WPF_bazowy'!I22</f>
        <v>17217700.41</v>
      </c>
      <c r="K22" s="431">
        <f>+'Zał.1_WPF_bazowy'!J22</f>
        <v>19789445.6</v>
      </c>
      <c r="L22" s="432">
        <f>+'Zał.1_WPF_bazowy'!K22</f>
        <v>19411928.99</v>
      </c>
      <c r="M22" s="432">
        <f>+'Zał.1_WPF_bazowy'!L22</f>
        <v>19495475.14</v>
      </c>
      <c r="N22" s="432">
        <f>+'Zał.1_WPF_bazowy'!M22</f>
        <v>20078095.44</v>
      </c>
      <c r="O22" s="432">
        <f>+'Zał.1_WPF_bazowy'!N22</f>
        <v>20840419.26</v>
      </c>
      <c r="P22" s="432">
        <f>+'Zał.1_WPF_bazowy'!O22</f>
        <v>21634436.03</v>
      </c>
      <c r="Q22" s="432">
        <f>+'Zał.1_WPF_bazowy'!P22</f>
        <v>22411413.47</v>
      </c>
      <c r="R22" s="432">
        <f>+'Zał.1_WPF_bazowy'!Q22</f>
        <v>23292670.01</v>
      </c>
      <c r="S22" s="432">
        <f>+'Zał.1_WPF_bazowy'!R22</f>
        <v>0</v>
      </c>
      <c r="T22" s="432">
        <f>+'Zał.1_WPF_bazowy'!S22</f>
        <v>0</v>
      </c>
      <c r="U22" s="432">
        <f>+'Zał.1_WPF_bazowy'!T22</f>
        <v>0</v>
      </c>
      <c r="V22" s="432">
        <f>+'Zał.1_WPF_bazowy'!U22</f>
        <v>0</v>
      </c>
      <c r="W22" s="432">
        <f>+'Zał.1_WPF_bazowy'!V22</f>
        <v>0</v>
      </c>
      <c r="X22" s="432">
        <f>+'Zał.1_WPF_bazowy'!W22</f>
        <v>0</v>
      </c>
      <c r="Y22" s="432">
        <f>+'Zał.1_WPF_bazowy'!X22</f>
        <v>0</v>
      </c>
      <c r="Z22" s="432">
        <f>+'Zał.1_WPF_bazowy'!Y22</f>
        <v>0</v>
      </c>
      <c r="AA22" s="432">
        <f>+'Zał.1_WPF_bazowy'!Z22</f>
        <v>0</v>
      </c>
      <c r="AB22" s="432">
        <f>+'Zał.1_WPF_bazowy'!AA22</f>
        <v>0</v>
      </c>
      <c r="AC22" s="432">
        <f>+'Zał.1_WPF_bazowy'!AB22</f>
        <v>0</v>
      </c>
      <c r="AD22" s="432">
        <f>+'Zał.1_WPF_bazowy'!AC22</f>
        <v>0</v>
      </c>
      <c r="AE22" s="432">
        <f>+'Zał.1_WPF_bazowy'!AD22</f>
        <v>0</v>
      </c>
      <c r="AF22" s="432">
        <f>+'Zał.1_WPF_bazowy'!AE22</f>
        <v>0</v>
      </c>
      <c r="AG22" s="432">
        <f>+'Zał.1_WPF_bazowy'!AF22</f>
        <v>0</v>
      </c>
      <c r="AH22" s="432">
        <f>+'Zał.1_WPF_bazowy'!AG22</f>
        <v>0</v>
      </c>
      <c r="AI22" s="432">
        <f>+'Zał.1_WPF_bazowy'!AH22</f>
        <v>0</v>
      </c>
      <c r="AJ22" s="432">
        <f>+'Zał.1_WPF_bazowy'!AI22</f>
        <v>0</v>
      </c>
      <c r="AK22" s="432">
        <f>+'Zał.1_WPF_bazowy'!AJ22</f>
        <v>0</v>
      </c>
      <c r="AL22" s="432">
        <f>+'Zał.1_WPF_bazowy'!AK22</f>
        <v>0</v>
      </c>
      <c r="AM22" s="432">
        <f>+'Zał.1_WPF_bazowy'!AL22</f>
        <v>0</v>
      </c>
      <c r="AN22" s="433">
        <f>+'Zał.1_WPF_bazowy'!AM22</f>
        <v>0</v>
      </c>
    </row>
    <row r="23" spans="1:40" ht="14.25" outlineLevel="2">
      <c r="A23" s="185" t="s">
        <v>66</v>
      </c>
      <c r="B23" s="351"/>
      <c r="C23" s="187"/>
      <c r="D23" s="188"/>
      <c r="E23" s="647" t="s">
        <v>229</v>
      </c>
      <c r="F23" s="647"/>
      <c r="G23" s="328">
        <f>'Zał.1_WPF_bazowy'!F23</f>
        <v>0</v>
      </c>
      <c r="H23" s="329">
        <f>'Zał.1_WPF_bazowy'!G23</f>
        <v>0</v>
      </c>
      <c r="I23" s="329">
        <f>'Zał.1_WPF_bazowy'!H23</f>
        <v>0</v>
      </c>
      <c r="J23" s="430">
        <f>'Zał.1_WPF_bazowy'!I23</f>
        <v>0</v>
      </c>
      <c r="K23" s="431">
        <f>+'Zał.1_WPF_bazowy'!J23</f>
        <v>0</v>
      </c>
      <c r="L23" s="432">
        <f>+'Zał.1_WPF_bazowy'!K23</f>
        <v>0</v>
      </c>
      <c r="M23" s="432">
        <f>+'Zał.1_WPF_bazowy'!L23</f>
        <v>0</v>
      </c>
      <c r="N23" s="432">
        <f>+'Zał.1_WPF_bazowy'!M23</f>
        <v>0</v>
      </c>
      <c r="O23" s="432">
        <f>+'Zał.1_WPF_bazowy'!N23</f>
        <v>0</v>
      </c>
      <c r="P23" s="432">
        <f>+'Zał.1_WPF_bazowy'!O23</f>
        <v>0</v>
      </c>
      <c r="Q23" s="432">
        <f>+'Zał.1_WPF_bazowy'!P23</f>
        <v>0</v>
      </c>
      <c r="R23" s="432">
        <f>+'Zał.1_WPF_bazowy'!Q23</f>
        <v>0</v>
      </c>
      <c r="S23" s="432">
        <f>+'Zał.1_WPF_bazowy'!R23</f>
        <v>0</v>
      </c>
      <c r="T23" s="432">
        <f>+'Zał.1_WPF_bazowy'!S23</f>
        <v>0</v>
      </c>
      <c r="U23" s="432">
        <f>+'Zał.1_WPF_bazowy'!T23</f>
        <v>0</v>
      </c>
      <c r="V23" s="432">
        <f>+'Zał.1_WPF_bazowy'!U23</f>
        <v>0</v>
      </c>
      <c r="W23" s="432">
        <f>+'Zał.1_WPF_bazowy'!V23</f>
        <v>0</v>
      </c>
      <c r="X23" s="432">
        <f>+'Zał.1_WPF_bazowy'!W23</f>
        <v>0</v>
      </c>
      <c r="Y23" s="432">
        <f>+'Zał.1_WPF_bazowy'!X23</f>
        <v>0</v>
      </c>
      <c r="Z23" s="432">
        <f>+'Zał.1_WPF_bazowy'!Y23</f>
        <v>0</v>
      </c>
      <c r="AA23" s="432">
        <f>+'Zał.1_WPF_bazowy'!Z23</f>
        <v>0</v>
      </c>
      <c r="AB23" s="432">
        <f>+'Zał.1_WPF_bazowy'!AA23</f>
        <v>0</v>
      </c>
      <c r="AC23" s="432">
        <f>+'Zał.1_WPF_bazowy'!AB23</f>
        <v>0</v>
      </c>
      <c r="AD23" s="432">
        <f>+'Zał.1_WPF_bazowy'!AC23</f>
        <v>0</v>
      </c>
      <c r="AE23" s="432">
        <f>+'Zał.1_WPF_bazowy'!AD23</f>
        <v>0</v>
      </c>
      <c r="AF23" s="432">
        <f>+'Zał.1_WPF_bazowy'!AE23</f>
        <v>0</v>
      </c>
      <c r="AG23" s="432">
        <f>+'Zał.1_WPF_bazowy'!AF23</f>
        <v>0</v>
      </c>
      <c r="AH23" s="432">
        <f>+'Zał.1_WPF_bazowy'!AG23</f>
        <v>0</v>
      </c>
      <c r="AI23" s="432">
        <f>+'Zał.1_WPF_bazowy'!AH23</f>
        <v>0</v>
      </c>
      <c r="AJ23" s="432">
        <f>+'Zał.1_WPF_bazowy'!AI23</f>
        <v>0</v>
      </c>
      <c r="AK23" s="432">
        <f>+'Zał.1_WPF_bazowy'!AJ23</f>
        <v>0</v>
      </c>
      <c r="AL23" s="432">
        <f>+'Zał.1_WPF_bazowy'!AK23</f>
        <v>0</v>
      </c>
      <c r="AM23" s="432">
        <f>+'Zał.1_WPF_bazowy'!AL23</f>
        <v>0</v>
      </c>
      <c r="AN23" s="433">
        <f>+'Zał.1_WPF_bazowy'!AM23</f>
        <v>0</v>
      </c>
    </row>
    <row r="24" spans="1:40" ht="69" customHeight="1" outlineLevel="2">
      <c r="A24" s="185" t="s">
        <v>68</v>
      </c>
      <c r="B24" s="351"/>
      <c r="C24" s="187"/>
      <c r="D24" s="188"/>
      <c r="E24" s="188"/>
      <c r="F24" s="189" t="s">
        <v>228</v>
      </c>
      <c r="G24" s="328">
        <f>'Zał.1_WPF_bazowy'!F24</f>
        <v>0</v>
      </c>
      <c r="H24" s="329">
        <f>'Zał.1_WPF_bazowy'!G24</f>
        <v>0</v>
      </c>
      <c r="I24" s="329">
        <f>'Zał.1_WPF_bazowy'!H24</f>
        <v>0</v>
      </c>
      <c r="J24" s="430">
        <f>'Zał.1_WPF_bazowy'!I24</f>
        <v>0</v>
      </c>
      <c r="K24" s="431">
        <f>+'Zał.1_WPF_bazowy'!J24</f>
        <v>0</v>
      </c>
      <c r="L24" s="432">
        <f>+'Zał.1_WPF_bazowy'!K24</f>
        <v>0</v>
      </c>
      <c r="M24" s="432">
        <f>+'Zał.1_WPF_bazowy'!L24</f>
        <v>0</v>
      </c>
      <c r="N24" s="432">
        <f>+'Zał.1_WPF_bazowy'!M24</f>
        <v>0</v>
      </c>
      <c r="O24" s="432">
        <f>+'Zał.1_WPF_bazowy'!N24</f>
        <v>0</v>
      </c>
      <c r="P24" s="432">
        <f>+'Zał.1_WPF_bazowy'!O24</f>
        <v>0</v>
      </c>
      <c r="Q24" s="432">
        <f>+'Zał.1_WPF_bazowy'!P24</f>
        <v>0</v>
      </c>
      <c r="R24" s="432">
        <f>+'Zał.1_WPF_bazowy'!Q24</f>
        <v>0</v>
      </c>
      <c r="S24" s="432">
        <f>+'Zał.1_WPF_bazowy'!R24</f>
        <v>0</v>
      </c>
      <c r="T24" s="432">
        <f>+'Zał.1_WPF_bazowy'!S24</f>
        <v>0</v>
      </c>
      <c r="U24" s="432">
        <f>+'Zał.1_WPF_bazowy'!T24</f>
        <v>0</v>
      </c>
      <c r="V24" s="432">
        <f>+'Zał.1_WPF_bazowy'!U24</f>
        <v>0</v>
      </c>
      <c r="W24" s="432">
        <f>+'Zał.1_WPF_bazowy'!V24</f>
        <v>0</v>
      </c>
      <c r="X24" s="432">
        <f>+'Zał.1_WPF_bazowy'!W24</f>
        <v>0</v>
      </c>
      <c r="Y24" s="432">
        <f>+'Zał.1_WPF_bazowy'!X24</f>
        <v>0</v>
      </c>
      <c r="Z24" s="432">
        <f>+'Zał.1_WPF_bazowy'!Y24</f>
        <v>0</v>
      </c>
      <c r="AA24" s="432">
        <f>+'Zał.1_WPF_bazowy'!Z24</f>
        <v>0</v>
      </c>
      <c r="AB24" s="432">
        <f>+'Zał.1_WPF_bazowy'!AA24</f>
        <v>0</v>
      </c>
      <c r="AC24" s="432">
        <f>+'Zał.1_WPF_bazowy'!AB24</f>
        <v>0</v>
      </c>
      <c r="AD24" s="432">
        <f>+'Zał.1_WPF_bazowy'!AC24</f>
        <v>0</v>
      </c>
      <c r="AE24" s="432">
        <f>+'Zał.1_WPF_bazowy'!AD24</f>
        <v>0</v>
      </c>
      <c r="AF24" s="432">
        <f>+'Zał.1_WPF_bazowy'!AE24</f>
        <v>0</v>
      </c>
      <c r="AG24" s="432">
        <f>+'Zał.1_WPF_bazowy'!AF24</f>
        <v>0</v>
      </c>
      <c r="AH24" s="432">
        <f>+'Zał.1_WPF_bazowy'!AG24</f>
        <v>0</v>
      </c>
      <c r="AI24" s="432">
        <f>+'Zał.1_WPF_bazowy'!AH24</f>
        <v>0</v>
      </c>
      <c r="AJ24" s="432">
        <f>+'Zał.1_WPF_bazowy'!AI24</f>
        <v>0</v>
      </c>
      <c r="AK24" s="432">
        <f>+'Zał.1_WPF_bazowy'!AJ24</f>
        <v>0</v>
      </c>
      <c r="AL24" s="432">
        <f>+'Zał.1_WPF_bazowy'!AK24</f>
        <v>0</v>
      </c>
      <c r="AM24" s="432">
        <f>+'Zał.1_WPF_bazowy'!AL24</f>
        <v>0</v>
      </c>
      <c r="AN24" s="433">
        <f>+'Zał.1_WPF_bazowy'!AM24</f>
        <v>0</v>
      </c>
    </row>
    <row r="25" spans="1:40" ht="48" customHeight="1" outlineLevel="2">
      <c r="A25" s="185" t="s">
        <v>70</v>
      </c>
      <c r="B25" s="351"/>
      <c r="C25" s="187"/>
      <c r="D25" s="188"/>
      <c r="E25" s="647" t="s">
        <v>227</v>
      </c>
      <c r="F25" s="647"/>
      <c r="G25" s="330" t="s">
        <v>31</v>
      </c>
      <c r="H25" s="331" t="s">
        <v>31</v>
      </c>
      <c r="I25" s="331" t="s">
        <v>31</v>
      </c>
      <c r="J25" s="434" t="s">
        <v>31</v>
      </c>
      <c r="K25" s="431">
        <f>+'Zał.1_WPF_bazowy'!J25</f>
        <v>0</v>
      </c>
      <c r="L25" s="432">
        <f>+'Zał.1_WPF_bazowy'!K25</f>
        <v>0</v>
      </c>
      <c r="M25" s="432">
        <f>+'Zał.1_WPF_bazowy'!L25</f>
        <v>0</v>
      </c>
      <c r="N25" s="432">
        <f>+'Zał.1_WPF_bazowy'!M25</f>
        <v>0</v>
      </c>
      <c r="O25" s="432">
        <f>+'Zał.1_WPF_bazowy'!N25</f>
        <v>0</v>
      </c>
      <c r="P25" s="432">
        <f>+'Zał.1_WPF_bazowy'!O25</f>
        <v>0</v>
      </c>
      <c r="Q25" s="432">
        <f>+'Zał.1_WPF_bazowy'!P25</f>
        <v>0</v>
      </c>
      <c r="R25" s="432">
        <f>+'Zał.1_WPF_bazowy'!Q25</f>
        <v>0</v>
      </c>
      <c r="S25" s="432">
        <f>+'Zał.1_WPF_bazowy'!R25</f>
        <v>0</v>
      </c>
      <c r="T25" s="432">
        <f>+'Zał.1_WPF_bazowy'!S25</f>
        <v>0</v>
      </c>
      <c r="U25" s="432">
        <f>+'Zał.1_WPF_bazowy'!T25</f>
        <v>0</v>
      </c>
      <c r="V25" s="432">
        <f>+'Zał.1_WPF_bazowy'!U25</f>
        <v>0</v>
      </c>
      <c r="W25" s="432">
        <f>+'Zał.1_WPF_bazowy'!V25</f>
        <v>0</v>
      </c>
      <c r="X25" s="432">
        <f>+'Zał.1_WPF_bazowy'!W25</f>
        <v>0</v>
      </c>
      <c r="Y25" s="432">
        <f>+'Zał.1_WPF_bazowy'!X25</f>
        <v>0</v>
      </c>
      <c r="Z25" s="432">
        <f>+'Zał.1_WPF_bazowy'!Y25</f>
        <v>0</v>
      </c>
      <c r="AA25" s="432">
        <f>+'Zał.1_WPF_bazowy'!Z25</f>
        <v>0</v>
      </c>
      <c r="AB25" s="432">
        <f>+'Zał.1_WPF_bazowy'!AA25</f>
        <v>0</v>
      </c>
      <c r="AC25" s="432">
        <f>+'Zał.1_WPF_bazowy'!AB25</f>
        <v>0</v>
      </c>
      <c r="AD25" s="432">
        <f>+'Zał.1_WPF_bazowy'!AC25</f>
        <v>0</v>
      </c>
      <c r="AE25" s="432">
        <f>+'Zał.1_WPF_bazowy'!AD25</f>
        <v>0</v>
      </c>
      <c r="AF25" s="432">
        <f>+'Zał.1_WPF_bazowy'!AE25</f>
        <v>0</v>
      </c>
      <c r="AG25" s="432">
        <f>+'Zał.1_WPF_bazowy'!AF25</f>
        <v>0</v>
      </c>
      <c r="AH25" s="432">
        <f>+'Zał.1_WPF_bazowy'!AG25</f>
        <v>0</v>
      </c>
      <c r="AI25" s="432">
        <f>+'Zał.1_WPF_bazowy'!AH25</f>
        <v>0</v>
      </c>
      <c r="AJ25" s="432">
        <f>+'Zał.1_WPF_bazowy'!AI25</f>
        <v>0</v>
      </c>
      <c r="AK25" s="432">
        <f>+'Zał.1_WPF_bazowy'!AJ25</f>
        <v>0</v>
      </c>
      <c r="AL25" s="432">
        <f>+'Zał.1_WPF_bazowy'!AK25</f>
        <v>0</v>
      </c>
      <c r="AM25" s="432">
        <f>+'Zał.1_WPF_bazowy'!AL25</f>
        <v>0</v>
      </c>
      <c r="AN25" s="433">
        <f>+'Zał.1_WPF_bazowy'!AM25</f>
        <v>0</v>
      </c>
    </row>
    <row r="26" spans="1:40" ht="14.25" outlineLevel="2">
      <c r="A26" s="185" t="s">
        <v>72</v>
      </c>
      <c r="B26" s="351"/>
      <c r="C26" s="187"/>
      <c r="D26" s="188"/>
      <c r="E26" s="647" t="s">
        <v>230</v>
      </c>
      <c r="F26" s="647"/>
      <c r="G26" s="328">
        <f>'Zał.1_WPF_bazowy'!F26</f>
        <v>244338.5</v>
      </c>
      <c r="H26" s="329">
        <f>'Zał.1_WPF_bazowy'!G26</f>
        <v>353126.69</v>
      </c>
      <c r="I26" s="329">
        <f>'Zał.1_WPF_bazowy'!H26</f>
        <v>400000</v>
      </c>
      <c r="J26" s="430">
        <f>'Zał.1_WPF_bazowy'!I26</f>
        <v>372355.15</v>
      </c>
      <c r="K26" s="431">
        <f>+'Zał.1_WPF_bazowy'!J26</f>
        <v>400000</v>
      </c>
      <c r="L26" s="432">
        <f>+'Zał.1_WPF_bazowy'!K26</f>
        <v>350000</v>
      </c>
      <c r="M26" s="432">
        <f>+'Zał.1_WPF_bazowy'!L26</f>
        <v>290000</v>
      </c>
      <c r="N26" s="432">
        <f>+'Zał.1_WPF_bazowy'!M26</f>
        <v>270000</v>
      </c>
      <c r="O26" s="432">
        <f>+'Zał.1_WPF_bazowy'!N26</f>
        <v>240000</v>
      </c>
      <c r="P26" s="432">
        <f>+'Zał.1_WPF_bazowy'!O26</f>
        <v>210000</v>
      </c>
      <c r="Q26" s="432">
        <f>+'Zał.1_WPF_bazowy'!P26</f>
        <v>130000</v>
      </c>
      <c r="R26" s="432">
        <f>+'Zał.1_WPF_bazowy'!Q26</f>
        <v>120000</v>
      </c>
      <c r="S26" s="432">
        <f>+'Zał.1_WPF_bazowy'!R26</f>
        <v>0</v>
      </c>
      <c r="T26" s="432">
        <f>+'Zał.1_WPF_bazowy'!S26</f>
        <v>0</v>
      </c>
      <c r="U26" s="432">
        <f>+'Zał.1_WPF_bazowy'!T26</f>
        <v>0</v>
      </c>
      <c r="V26" s="432">
        <f>+'Zał.1_WPF_bazowy'!U26</f>
        <v>0</v>
      </c>
      <c r="W26" s="432">
        <f>+'Zał.1_WPF_bazowy'!V26</f>
        <v>0</v>
      </c>
      <c r="X26" s="432">
        <f>+'Zał.1_WPF_bazowy'!W26</f>
        <v>0</v>
      </c>
      <c r="Y26" s="432">
        <f>+'Zał.1_WPF_bazowy'!X26</f>
        <v>0</v>
      </c>
      <c r="Z26" s="432">
        <f>+'Zał.1_WPF_bazowy'!Y26</f>
        <v>0</v>
      </c>
      <c r="AA26" s="432">
        <f>+'Zał.1_WPF_bazowy'!Z26</f>
        <v>0</v>
      </c>
      <c r="AB26" s="432">
        <f>+'Zał.1_WPF_bazowy'!AA26</f>
        <v>0</v>
      </c>
      <c r="AC26" s="432">
        <f>+'Zał.1_WPF_bazowy'!AB26</f>
        <v>0</v>
      </c>
      <c r="AD26" s="432">
        <f>+'Zał.1_WPF_bazowy'!AC26</f>
        <v>0</v>
      </c>
      <c r="AE26" s="432">
        <f>+'Zał.1_WPF_bazowy'!AD26</f>
        <v>0</v>
      </c>
      <c r="AF26" s="432">
        <f>+'Zał.1_WPF_bazowy'!AE26</f>
        <v>0</v>
      </c>
      <c r="AG26" s="432">
        <f>+'Zał.1_WPF_bazowy'!AF26</f>
        <v>0</v>
      </c>
      <c r="AH26" s="432">
        <f>+'Zał.1_WPF_bazowy'!AG26</f>
        <v>0</v>
      </c>
      <c r="AI26" s="432">
        <f>+'Zał.1_WPF_bazowy'!AH26</f>
        <v>0</v>
      </c>
      <c r="AJ26" s="432">
        <f>+'Zał.1_WPF_bazowy'!AI26</f>
        <v>0</v>
      </c>
      <c r="AK26" s="432">
        <f>+'Zał.1_WPF_bazowy'!AJ26</f>
        <v>0</v>
      </c>
      <c r="AL26" s="432">
        <f>+'Zał.1_WPF_bazowy'!AK26</f>
        <v>0</v>
      </c>
      <c r="AM26" s="432">
        <f>+'Zał.1_WPF_bazowy'!AL26</f>
        <v>0</v>
      </c>
      <c r="AN26" s="433">
        <f>+'Zał.1_WPF_bazowy'!AM26</f>
        <v>0</v>
      </c>
    </row>
    <row r="27" spans="1:256" s="191" customFormat="1" ht="24" customHeight="1" outlineLevel="2">
      <c r="A27" s="185" t="s">
        <v>74</v>
      </c>
      <c r="B27" s="351"/>
      <c r="C27" s="187"/>
      <c r="D27" s="188"/>
      <c r="E27" s="188"/>
      <c r="F27" s="189" t="s">
        <v>231</v>
      </c>
      <c r="G27" s="328">
        <f>'Zał.1_WPF_bazowy'!F27</f>
        <v>244338.5</v>
      </c>
      <c r="H27" s="329">
        <f>'Zał.1_WPF_bazowy'!G27</f>
        <v>353126.69</v>
      </c>
      <c r="I27" s="329">
        <f>'Zał.1_WPF_bazowy'!H27</f>
        <v>400000</v>
      </c>
      <c r="J27" s="430">
        <f>'Zał.1_WPF_bazowy'!I27</f>
        <v>372355.15</v>
      </c>
      <c r="K27" s="431">
        <f>+'Zał.1_WPF_bazowy'!J27</f>
        <v>400000</v>
      </c>
      <c r="L27" s="432">
        <f>+'Zał.1_WPF_bazowy'!K27</f>
        <v>350000</v>
      </c>
      <c r="M27" s="432">
        <f>+'Zał.1_WPF_bazowy'!L27</f>
        <v>290000</v>
      </c>
      <c r="N27" s="432">
        <f>+'Zał.1_WPF_bazowy'!M27</f>
        <v>270000</v>
      </c>
      <c r="O27" s="432">
        <f>+'Zał.1_WPF_bazowy'!N27</f>
        <v>240000</v>
      </c>
      <c r="P27" s="432">
        <f>+'Zał.1_WPF_bazowy'!O27</f>
        <v>210000</v>
      </c>
      <c r="Q27" s="432">
        <f>+'Zał.1_WPF_bazowy'!P27</f>
        <v>130000</v>
      </c>
      <c r="R27" s="432">
        <f>+'Zał.1_WPF_bazowy'!Q27</f>
        <v>120000</v>
      </c>
      <c r="S27" s="432">
        <f>+'Zał.1_WPF_bazowy'!R27</f>
        <v>0</v>
      </c>
      <c r="T27" s="432">
        <f>+'Zał.1_WPF_bazowy'!S27</f>
        <v>0</v>
      </c>
      <c r="U27" s="432">
        <f>+'Zał.1_WPF_bazowy'!T27</f>
        <v>0</v>
      </c>
      <c r="V27" s="432">
        <f>+'Zał.1_WPF_bazowy'!U27</f>
        <v>0</v>
      </c>
      <c r="W27" s="432">
        <f>+'Zał.1_WPF_bazowy'!V27</f>
        <v>0</v>
      </c>
      <c r="X27" s="432">
        <f>+'Zał.1_WPF_bazowy'!W27</f>
        <v>0</v>
      </c>
      <c r="Y27" s="432">
        <f>+'Zał.1_WPF_bazowy'!X27</f>
        <v>0</v>
      </c>
      <c r="Z27" s="432">
        <f>+'Zał.1_WPF_bazowy'!Y27</f>
        <v>0</v>
      </c>
      <c r="AA27" s="432">
        <f>+'Zał.1_WPF_bazowy'!Z27</f>
        <v>0</v>
      </c>
      <c r="AB27" s="432">
        <f>+'Zał.1_WPF_bazowy'!AA27</f>
        <v>0</v>
      </c>
      <c r="AC27" s="432">
        <f>+'Zał.1_WPF_bazowy'!AB27</f>
        <v>0</v>
      </c>
      <c r="AD27" s="432">
        <f>+'Zał.1_WPF_bazowy'!AC27</f>
        <v>0</v>
      </c>
      <c r="AE27" s="432">
        <f>+'Zał.1_WPF_bazowy'!AD27</f>
        <v>0</v>
      </c>
      <c r="AF27" s="432">
        <f>+'Zał.1_WPF_bazowy'!AE27</f>
        <v>0</v>
      </c>
      <c r="AG27" s="432">
        <f>+'Zał.1_WPF_bazowy'!AF27</f>
        <v>0</v>
      </c>
      <c r="AH27" s="432">
        <f>+'Zał.1_WPF_bazowy'!AG27</f>
        <v>0</v>
      </c>
      <c r="AI27" s="432">
        <f>+'Zał.1_WPF_bazowy'!AH27</f>
        <v>0</v>
      </c>
      <c r="AJ27" s="432">
        <f>+'Zał.1_WPF_bazowy'!AI27</f>
        <v>0</v>
      </c>
      <c r="AK27" s="432">
        <f>+'Zał.1_WPF_bazowy'!AJ27</f>
        <v>0</v>
      </c>
      <c r="AL27" s="432">
        <f>+'Zał.1_WPF_bazowy'!AK27</f>
        <v>0</v>
      </c>
      <c r="AM27" s="432">
        <f>+'Zał.1_WPF_bazowy'!AL27</f>
        <v>0</v>
      </c>
      <c r="AN27" s="433">
        <f>+'Zał.1_WPF_bazowy'!AM27</f>
        <v>0</v>
      </c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  <c r="IK27" s="160"/>
      <c r="IL27" s="160"/>
      <c r="IM27" s="160"/>
      <c r="IN27" s="160"/>
      <c r="IO27" s="160"/>
      <c r="IP27" s="160"/>
      <c r="IQ27" s="160"/>
      <c r="IR27" s="160"/>
      <c r="IS27" s="160"/>
      <c r="IT27" s="160"/>
      <c r="IU27" s="160"/>
      <c r="IV27" s="160"/>
    </row>
    <row r="28" spans="1:256" s="191" customFormat="1" ht="14.25" outlineLevel="2">
      <c r="A28" s="185" t="s">
        <v>171</v>
      </c>
      <c r="B28" s="351"/>
      <c r="C28" s="187"/>
      <c r="D28" s="647" t="s">
        <v>22</v>
      </c>
      <c r="E28" s="647"/>
      <c r="F28" s="647"/>
      <c r="G28" s="328">
        <f>'Zał.1_WPF_bazowy'!F28</f>
        <v>3282758.66</v>
      </c>
      <c r="H28" s="329">
        <f>'Zał.1_WPF_bazowy'!G28</f>
        <v>1400443.32</v>
      </c>
      <c r="I28" s="329">
        <f>'Zał.1_WPF_bazowy'!H28</f>
        <v>1739950</v>
      </c>
      <c r="J28" s="430">
        <f>'Zał.1_WPF_bazowy'!I28</f>
        <v>1157216.01</v>
      </c>
      <c r="K28" s="431">
        <f>+'Zał.1_WPF_bazowy'!J28</f>
        <v>2504000</v>
      </c>
      <c r="L28" s="432">
        <f>+'Zał.1_WPF_bazowy'!K28</f>
        <v>1360000</v>
      </c>
      <c r="M28" s="432">
        <f>+'Zał.1_WPF_bazowy'!L28</f>
        <v>1279515.26</v>
      </c>
      <c r="N28" s="432">
        <f>+'Zał.1_WPF_bazowy'!M28</f>
        <v>1138724.11</v>
      </c>
      <c r="O28" s="432">
        <f>+'Zał.1_WPF_bazowy'!N28</f>
        <v>1124026.25</v>
      </c>
      <c r="P28" s="432">
        <f>+'Zał.1_WPF_bazowy'!O28</f>
        <v>1257551.86</v>
      </c>
      <c r="Q28" s="432">
        <f>+'Zał.1_WPF_bazowy'!P28</f>
        <v>1541115.87</v>
      </c>
      <c r="R28" s="432">
        <f>+'Zał.1_WPF_bazowy'!Q28</f>
        <v>2383511.51</v>
      </c>
      <c r="S28" s="432">
        <f>+'Zał.1_WPF_bazowy'!R28</f>
        <v>0</v>
      </c>
      <c r="T28" s="432">
        <f>+'Zał.1_WPF_bazowy'!S28</f>
        <v>0</v>
      </c>
      <c r="U28" s="432">
        <f>+'Zał.1_WPF_bazowy'!T28</f>
        <v>0</v>
      </c>
      <c r="V28" s="432">
        <f>+'Zał.1_WPF_bazowy'!U28</f>
        <v>0</v>
      </c>
      <c r="W28" s="432">
        <f>+'Zał.1_WPF_bazowy'!V28</f>
        <v>0</v>
      </c>
      <c r="X28" s="432">
        <f>+'Zał.1_WPF_bazowy'!W28</f>
        <v>0</v>
      </c>
      <c r="Y28" s="432">
        <f>+'Zał.1_WPF_bazowy'!X28</f>
        <v>0</v>
      </c>
      <c r="Z28" s="432">
        <f>+'Zał.1_WPF_bazowy'!Y28</f>
        <v>0</v>
      </c>
      <c r="AA28" s="432">
        <f>+'Zał.1_WPF_bazowy'!Z28</f>
        <v>0</v>
      </c>
      <c r="AB28" s="432">
        <f>+'Zał.1_WPF_bazowy'!AA28</f>
        <v>0</v>
      </c>
      <c r="AC28" s="432">
        <f>+'Zał.1_WPF_bazowy'!AB28</f>
        <v>0</v>
      </c>
      <c r="AD28" s="432">
        <f>+'Zał.1_WPF_bazowy'!AC28</f>
        <v>0</v>
      </c>
      <c r="AE28" s="432">
        <f>+'Zał.1_WPF_bazowy'!AD28</f>
        <v>0</v>
      </c>
      <c r="AF28" s="432">
        <f>+'Zał.1_WPF_bazowy'!AE28</f>
        <v>0</v>
      </c>
      <c r="AG28" s="432">
        <f>+'Zał.1_WPF_bazowy'!AF28</f>
        <v>0</v>
      </c>
      <c r="AH28" s="432">
        <f>+'Zał.1_WPF_bazowy'!AG28</f>
        <v>0</v>
      </c>
      <c r="AI28" s="432">
        <f>+'Zał.1_WPF_bazowy'!AH28</f>
        <v>0</v>
      </c>
      <c r="AJ28" s="432">
        <f>+'Zał.1_WPF_bazowy'!AI28</f>
        <v>0</v>
      </c>
      <c r="AK28" s="432">
        <f>+'Zał.1_WPF_bazowy'!AJ28</f>
        <v>0</v>
      </c>
      <c r="AL28" s="432">
        <f>+'Zał.1_WPF_bazowy'!AK28</f>
        <v>0</v>
      </c>
      <c r="AM28" s="432">
        <f>+'Zał.1_WPF_bazowy'!AL28</f>
        <v>0</v>
      </c>
      <c r="AN28" s="433">
        <f>+'Zał.1_WPF_bazowy'!AM28</f>
        <v>0</v>
      </c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0"/>
      <c r="GO28" s="160"/>
      <c r="GP28" s="160"/>
      <c r="GQ28" s="160"/>
      <c r="GR28" s="160"/>
      <c r="GS28" s="160"/>
      <c r="GT28" s="160"/>
      <c r="GU28" s="160"/>
      <c r="GV28" s="160"/>
      <c r="GW28" s="160"/>
      <c r="GX28" s="160"/>
      <c r="GY28" s="160"/>
      <c r="GZ28" s="160"/>
      <c r="HA28" s="160"/>
      <c r="HB28" s="160"/>
      <c r="HC28" s="160"/>
      <c r="HD28" s="160"/>
      <c r="HE28" s="160"/>
      <c r="HF28" s="160"/>
      <c r="HG28" s="160"/>
      <c r="HH28" s="160"/>
      <c r="HI28" s="160"/>
      <c r="HJ28" s="160"/>
      <c r="HK28" s="160"/>
      <c r="HL28" s="160"/>
      <c r="HM28" s="160"/>
      <c r="HN28" s="160"/>
      <c r="HO28" s="160"/>
      <c r="HP28" s="160"/>
      <c r="HQ28" s="160"/>
      <c r="HR28" s="160"/>
      <c r="HS28" s="160"/>
      <c r="HT28" s="160"/>
      <c r="HU28" s="160"/>
      <c r="HV28" s="160"/>
      <c r="HW28" s="160"/>
      <c r="HX28" s="160"/>
      <c r="HY28" s="160"/>
      <c r="HZ28" s="160"/>
      <c r="IA28" s="160"/>
      <c r="IB28" s="160"/>
      <c r="IC28" s="160"/>
      <c r="ID28" s="160"/>
      <c r="IE28" s="160"/>
      <c r="IF28" s="160"/>
      <c r="IG28" s="160"/>
      <c r="IH28" s="160"/>
      <c r="II28" s="160"/>
      <c r="IJ28" s="160"/>
      <c r="IK28" s="160"/>
      <c r="IL28" s="160"/>
      <c r="IM28" s="160"/>
      <c r="IN28" s="160"/>
      <c r="IO28" s="160"/>
      <c r="IP28" s="160"/>
      <c r="IQ28" s="160"/>
      <c r="IR28" s="160"/>
      <c r="IS28" s="160"/>
      <c r="IT28" s="160"/>
      <c r="IU28" s="160"/>
      <c r="IV28" s="160"/>
    </row>
    <row r="29" spans="1:40" s="184" customFormat="1" ht="15" outlineLevel="1">
      <c r="A29" s="183">
        <v>3</v>
      </c>
      <c r="B29" s="350" t="s">
        <v>431</v>
      </c>
      <c r="C29" s="648" t="s">
        <v>23</v>
      </c>
      <c r="D29" s="649"/>
      <c r="E29" s="649"/>
      <c r="F29" s="649"/>
      <c r="G29" s="326">
        <f>'Zał.1_WPF_bazowy'!F29</f>
        <v>-1244448.02</v>
      </c>
      <c r="H29" s="327">
        <f>'Zał.1_WPF_bazowy'!G29</f>
        <v>369699.82</v>
      </c>
      <c r="I29" s="327">
        <f>'Zał.1_WPF_bazowy'!H29</f>
        <v>-1102925</v>
      </c>
      <c r="J29" s="155">
        <f>+J10-J21</f>
        <v>1126438.1999999993</v>
      </c>
      <c r="K29" s="153">
        <f>+K10-K21</f>
        <v>-1288821</v>
      </c>
      <c r="L29" s="154">
        <f aca="true" t="shared" si="2" ref="L29:AN29">+L10-L21</f>
        <v>207298.30000000075</v>
      </c>
      <c r="M29" s="154">
        <f t="shared" si="2"/>
        <v>825999.9999999963</v>
      </c>
      <c r="N29" s="154">
        <f t="shared" si="2"/>
        <v>1050000</v>
      </c>
      <c r="O29" s="154">
        <f t="shared" si="2"/>
        <v>1150000</v>
      </c>
      <c r="P29" s="154">
        <f t="shared" si="2"/>
        <v>1123921</v>
      </c>
      <c r="Q29" s="154">
        <f t="shared" si="2"/>
        <v>1000000</v>
      </c>
      <c r="R29" s="154">
        <f t="shared" si="2"/>
        <v>249496.45999999717</v>
      </c>
      <c r="S29" s="154">
        <f t="shared" si="2"/>
        <v>0</v>
      </c>
      <c r="T29" s="154">
        <f t="shared" si="2"/>
        <v>0</v>
      </c>
      <c r="U29" s="154">
        <f t="shared" si="2"/>
        <v>0</v>
      </c>
      <c r="V29" s="154">
        <f t="shared" si="2"/>
        <v>0</v>
      </c>
      <c r="W29" s="154">
        <f t="shared" si="2"/>
        <v>0</v>
      </c>
      <c r="X29" s="154">
        <f t="shared" si="2"/>
        <v>0</v>
      </c>
      <c r="Y29" s="154">
        <f t="shared" si="2"/>
        <v>0</v>
      </c>
      <c r="Z29" s="154">
        <f t="shared" si="2"/>
        <v>0</v>
      </c>
      <c r="AA29" s="154">
        <f t="shared" si="2"/>
        <v>0</v>
      </c>
      <c r="AB29" s="154">
        <f t="shared" si="2"/>
        <v>0</v>
      </c>
      <c r="AC29" s="154">
        <f t="shared" si="2"/>
        <v>0</v>
      </c>
      <c r="AD29" s="154">
        <f t="shared" si="2"/>
        <v>0</v>
      </c>
      <c r="AE29" s="154">
        <f t="shared" si="2"/>
        <v>0</v>
      </c>
      <c r="AF29" s="154">
        <f t="shared" si="2"/>
        <v>0</v>
      </c>
      <c r="AG29" s="154">
        <f t="shared" si="2"/>
        <v>0</v>
      </c>
      <c r="AH29" s="154">
        <f t="shared" si="2"/>
        <v>0</v>
      </c>
      <c r="AI29" s="154">
        <f t="shared" si="2"/>
        <v>0</v>
      </c>
      <c r="AJ29" s="154">
        <f t="shared" si="2"/>
        <v>0</v>
      </c>
      <c r="AK29" s="154">
        <f t="shared" si="2"/>
        <v>0</v>
      </c>
      <c r="AL29" s="154">
        <f t="shared" si="2"/>
        <v>0</v>
      </c>
      <c r="AM29" s="154">
        <f t="shared" si="2"/>
        <v>0</v>
      </c>
      <c r="AN29" s="155">
        <f t="shared" si="2"/>
        <v>0</v>
      </c>
    </row>
    <row r="30" spans="1:40" s="184" customFormat="1" ht="15" outlineLevel="1">
      <c r="A30" s="183">
        <v>4</v>
      </c>
      <c r="B30" s="350" t="s">
        <v>432</v>
      </c>
      <c r="C30" s="648" t="s">
        <v>24</v>
      </c>
      <c r="D30" s="649"/>
      <c r="E30" s="649"/>
      <c r="F30" s="649"/>
      <c r="G30" s="326">
        <f>'Zał.1_WPF_bazowy'!F30</f>
        <v>2566776.02</v>
      </c>
      <c r="H30" s="327">
        <f>'Zał.1_WPF_bazowy'!G30</f>
        <v>1802073.56</v>
      </c>
      <c r="I30" s="327">
        <f>'Zał.1_WPF_bazowy'!H30</f>
        <v>2152185</v>
      </c>
      <c r="J30" s="155">
        <f>+J31+J33+J35+J37</f>
        <v>1229513.94</v>
      </c>
      <c r="K30" s="153">
        <f>+K31+K33+K35+K37</f>
        <v>2422816</v>
      </c>
      <c r="L30" s="154">
        <f aca="true" t="shared" si="3" ref="L30:AN30">+L31+L33+L35+L37</f>
        <v>486701.7</v>
      </c>
      <c r="M30" s="154">
        <f t="shared" si="3"/>
        <v>0</v>
      </c>
      <c r="N30" s="154">
        <f t="shared" si="3"/>
        <v>0</v>
      </c>
      <c r="O30" s="154">
        <f t="shared" si="3"/>
        <v>0</v>
      </c>
      <c r="P30" s="154">
        <f t="shared" si="3"/>
        <v>0</v>
      </c>
      <c r="Q30" s="154">
        <f t="shared" si="3"/>
        <v>0</v>
      </c>
      <c r="R30" s="154">
        <f t="shared" si="3"/>
        <v>0</v>
      </c>
      <c r="S30" s="154">
        <f t="shared" si="3"/>
        <v>0</v>
      </c>
      <c r="T30" s="154">
        <f t="shared" si="3"/>
        <v>0</v>
      </c>
      <c r="U30" s="154">
        <f t="shared" si="3"/>
        <v>0</v>
      </c>
      <c r="V30" s="154">
        <f t="shared" si="3"/>
        <v>0</v>
      </c>
      <c r="W30" s="154">
        <f t="shared" si="3"/>
        <v>0</v>
      </c>
      <c r="X30" s="154">
        <f t="shared" si="3"/>
        <v>0</v>
      </c>
      <c r="Y30" s="154">
        <f t="shared" si="3"/>
        <v>0</v>
      </c>
      <c r="Z30" s="154">
        <f t="shared" si="3"/>
        <v>0</v>
      </c>
      <c r="AA30" s="154">
        <f t="shared" si="3"/>
        <v>0</v>
      </c>
      <c r="AB30" s="154">
        <f t="shared" si="3"/>
        <v>0</v>
      </c>
      <c r="AC30" s="154">
        <f t="shared" si="3"/>
        <v>0</v>
      </c>
      <c r="AD30" s="154">
        <f t="shared" si="3"/>
        <v>0</v>
      </c>
      <c r="AE30" s="154">
        <f t="shared" si="3"/>
        <v>0</v>
      </c>
      <c r="AF30" s="154">
        <f t="shared" si="3"/>
        <v>0</v>
      </c>
      <c r="AG30" s="154">
        <f t="shared" si="3"/>
        <v>0</v>
      </c>
      <c r="AH30" s="154">
        <f t="shared" si="3"/>
        <v>0</v>
      </c>
      <c r="AI30" s="154">
        <f t="shared" si="3"/>
        <v>0</v>
      </c>
      <c r="AJ30" s="154">
        <f t="shared" si="3"/>
        <v>0</v>
      </c>
      <c r="AK30" s="154">
        <f t="shared" si="3"/>
        <v>0</v>
      </c>
      <c r="AL30" s="154">
        <f t="shared" si="3"/>
        <v>0</v>
      </c>
      <c r="AM30" s="154">
        <f t="shared" si="3"/>
        <v>0</v>
      </c>
      <c r="AN30" s="155">
        <f t="shared" si="3"/>
        <v>0</v>
      </c>
    </row>
    <row r="31" spans="1:40" ht="14.25" outlineLevel="2">
      <c r="A31" s="185" t="s">
        <v>172</v>
      </c>
      <c r="B31" s="351"/>
      <c r="C31" s="187"/>
      <c r="D31" s="647" t="s">
        <v>233</v>
      </c>
      <c r="E31" s="647"/>
      <c r="F31" s="647"/>
      <c r="G31" s="328">
        <f>'Zał.1_WPF_bazowy'!F31</f>
        <v>0</v>
      </c>
      <c r="H31" s="329">
        <f>'Zał.1_WPF_bazowy'!G31</f>
        <v>0</v>
      </c>
      <c r="I31" s="329">
        <f>'Zał.1_WPF_bazowy'!H31</f>
        <v>369699.82</v>
      </c>
      <c r="J31" s="430">
        <f>'Zał.1_WPF_bazowy'!I31</f>
        <v>0</v>
      </c>
      <c r="K31" s="431">
        <f>+'Zał.1_WPF_bazowy'!J31</f>
        <v>0</v>
      </c>
      <c r="L31" s="432">
        <f>+'Zał.1_WPF_bazowy'!K31</f>
        <v>0</v>
      </c>
      <c r="M31" s="432">
        <f>+'Zał.1_WPF_bazowy'!L31</f>
        <v>0</v>
      </c>
      <c r="N31" s="432">
        <f>+'Zał.1_WPF_bazowy'!M31</f>
        <v>0</v>
      </c>
      <c r="O31" s="432">
        <f>+'Zał.1_WPF_bazowy'!N31</f>
        <v>0</v>
      </c>
      <c r="P31" s="432">
        <f>+'Zał.1_WPF_bazowy'!O31</f>
        <v>0</v>
      </c>
      <c r="Q31" s="432">
        <f>+'Zał.1_WPF_bazowy'!P31</f>
        <v>0</v>
      </c>
      <c r="R31" s="432">
        <f>+'Zał.1_WPF_bazowy'!Q31</f>
        <v>0</v>
      </c>
      <c r="S31" s="432">
        <f>+'Zał.1_WPF_bazowy'!R31</f>
        <v>0</v>
      </c>
      <c r="T31" s="432">
        <f>+'Zał.1_WPF_bazowy'!S31</f>
        <v>0</v>
      </c>
      <c r="U31" s="432">
        <f>+'Zał.1_WPF_bazowy'!T31</f>
        <v>0</v>
      </c>
      <c r="V31" s="432">
        <f>+'Zał.1_WPF_bazowy'!U31</f>
        <v>0</v>
      </c>
      <c r="W31" s="432">
        <f>+'Zał.1_WPF_bazowy'!V31</f>
        <v>0</v>
      </c>
      <c r="X31" s="432">
        <f>+'Zał.1_WPF_bazowy'!W31</f>
        <v>0</v>
      </c>
      <c r="Y31" s="432">
        <f>+'Zał.1_WPF_bazowy'!X31</f>
        <v>0</v>
      </c>
      <c r="Z31" s="432">
        <f>+'Zał.1_WPF_bazowy'!Y31</f>
        <v>0</v>
      </c>
      <c r="AA31" s="432">
        <f>+'Zał.1_WPF_bazowy'!Z31</f>
        <v>0</v>
      </c>
      <c r="AB31" s="432">
        <f>+'Zał.1_WPF_bazowy'!AA31</f>
        <v>0</v>
      </c>
      <c r="AC31" s="432">
        <f>+'Zał.1_WPF_bazowy'!AB31</f>
        <v>0</v>
      </c>
      <c r="AD31" s="432">
        <f>+'Zał.1_WPF_bazowy'!AC31</f>
        <v>0</v>
      </c>
      <c r="AE31" s="432">
        <f>+'Zał.1_WPF_bazowy'!AD31</f>
        <v>0</v>
      </c>
      <c r="AF31" s="432">
        <f>+'Zał.1_WPF_bazowy'!AE31</f>
        <v>0</v>
      </c>
      <c r="AG31" s="432">
        <f>+'Zał.1_WPF_bazowy'!AF31</f>
        <v>0</v>
      </c>
      <c r="AH31" s="432">
        <f>+'Zał.1_WPF_bazowy'!AG31</f>
        <v>0</v>
      </c>
      <c r="AI31" s="432">
        <f>+'Zał.1_WPF_bazowy'!AH31</f>
        <v>0</v>
      </c>
      <c r="AJ31" s="432">
        <f>+'Zał.1_WPF_bazowy'!AI31</f>
        <v>0</v>
      </c>
      <c r="AK31" s="432">
        <f>+'Zał.1_WPF_bazowy'!AJ31</f>
        <v>0</v>
      </c>
      <c r="AL31" s="432">
        <f>+'Zał.1_WPF_bazowy'!AK31</f>
        <v>0</v>
      </c>
      <c r="AM31" s="432">
        <f>+'Zał.1_WPF_bazowy'!AL31</f>
        <v>0</v>
      </c>
      <c r="AN31" s="433">
        <f>+'Zał.1_WPF_bazowy'!AM31</f>
        <v>0</v>
      </c>
    </row>
    <row r="32" spans="1:40" ht="14.25" outlineLevel="2">
      <c r="A32" s="185" t="s">
        <v>78</v>
      </c>
      <c r="B32" s="351"/>
      <c r="C32" s="187"/>
      <c r="D32" s="188"/>
      <c r="E32" s="647" t="s">
        <v>234</v>
      </c>
      <c r="F32" s="647"/>
      <c r="G32" s="328">
        <f>'Zał.1_WPF_bazowy'!F32</f>
        <v>0</v>
      </c>
      <c r="H32" s="329">
        <f>'Zał.1_WPF_bazowy'!G32</f>
        <v>0</v>
      </c>
      <c r="I32" s="329">
        <f>'Zał.1_WPF_bazowy'!H32</f>
        <v>369699.82</v>
      </c>
      <c r="J32" s="430">
        <f>'Zał.1_WPF_bazowy'!I32</f>
        <v>0</v>
      </c>
      <c r="K32" s="431">
        <f>+'Zał.1_WPF_bazowy'!J32</f>
        <v>0</v>
      </c>
      <c r="L32" s="432">
        <f>+'Zał.1_WPF_bazowy'!K32</f>
        <v>0</v>
      </c>
      <c r="M32" s="432">
        <f>+'Zał.1_WPF_bazowy'!L32</f>
        <v>0</v>
      </c>
      <c r="N32" s="432">
        <f>+'Zał.1_WPF_bazowy'!M32</f>
        <v>0</v>
      </c>
      <c r="O32" s="432">
        <f>+'Zał.1_WPF_bazowy'!N32</f>
        <v>0</v>
      </c>
      <c r="P32" s="432">
        <f>+'Zał.1_WPF_bazowy'!O32</f>
        <v>0</v>
      </c>
      <c r="Q32" s="432">
        <f>+'Zał.1_WPF_bazowy'!P32</f>
        <v>0</v>
      </c>
      <c r="R32" s="432">
        <f>+'Zał.1_WPF_bazowy'!Q32</f>
        <v>0</v>
      </c>
      <c r="S32" s="432">
        <f>+'Zał.1_WPF_bazowy'!R32</f>
        <v>0</v>
      </c>
      <c r="T32" s="432">
        <f>+'Zał.1_WPF_bazowy'!S32</f>
        <v>0</v>
      </c>
      <c r="U32" s="432">
        <f>+'Zał.1_WPF_bazowy'!T32</f>
        <v>0</v>
      </c>
      <c r="V32" s="432">
        <f>+'Zał.1_WPF_bazowy'!U32</f>
        <v>0</v>
      </c>
      <c r="W32" s="432">
        <f>+'Zał.1_WPF_bazowy'!V32</f>
        <v>0</v>
      </c>
      <c r="X32" s="432">
        <f>+'Zał.1_WPF_bazowy'!W32</f>
        <v>0</v>
      </c>
      <c r="Y32" s="432">
        <f>+'Zał.1_WPF_bazowy'!X32</f>
        <v>0</v>
      </c>
      <c r="Z32" s="432">
        <f>+'Zał.1_WPF_bazowy'!Y32</f>
        <v>0</v>
      </c>
      <c r="AA32" s="432">
        <f>+'Zał.1_WPF_bazowy'!Z32</f>
        <v>0</v>
      </c>
      <c r="AB32" s="432">
        <f>+'Zał.1_WPF_bazowy'!AA32</f>
        <v>0</v>
      </c>
      <c r="AC32" s="432">
        <f>+'Zał.1_WPF_bazowy'!AB32</f>
        <v>0</v>
      </c>
      <c r="AD32" s="432">
        <f>+'Zał.1_WPF_bazowy'!AC32</f>
        <v>0</v>
      </c>
      <c r="AE32" s="432">
        <f>+'Zał.1_WPF_bazowy'!AD32</f>
        <v>0</v>
      </c>
      <c r="AF32" s="432">
        <f>+'Zał.1_WPF_bazowy'!AE32</f>
        <v>0</v>
      </c>
      <c r="AG32" s="432">
        <f>+'Zał.1_WPF_bazowy'!AF32</f>
        <v>0</v>
      </c>
      <c r="AH32" s="432">
        <f>+'Zał.1_WPF_bazowy'!AG32</f>
        <v>0</v>
      </c>
      <c r="AI32" s="432">
        <f>+'Zał.1_WPF_bazowy'!AH32</f>
        <v>0</v>
      </c>
      <c r="AJ32" s="432">
        <f>+'Zał.1_WPF_bazowy'!AI32</f>
        <v>0</v>
      </c>
      <c r="AK32" s="432">
        <f>+'Zał.1_WPF_bazowy'!AJ32</f>
        <v>0</v>
      </c>
      <c r="AL32" s="432">
        <f>+'Zał.1_WPF_bazowy'!AK32</f>
        <v>0</v>
      </c>
      <c r="AM32" s="432">
        <f>+'Zał.1_WPF_bazowy'!AL32</f>
        <v>0</v>
      </c>
      <c r="AN32" s="433">
        <f>+'Zał.1_WPF_bazowy'!AM32</f>
        <v>0</v>
      </c>
    </row>
    <row r="33" spans="1:40" ht="14.25" outlineLevel="2">
      <c r="A33" s="185" t="s">
        <v>173</v>
      </c>
      <c r="B33" s="351"/>
      <c r="C33" s="187"/>
      <c r="D33" s="647" t="s">
        <v>235</v>
      </c>
      <c r="E33" s="647"/>
      <c r="F33" s="647"/>
      <c r="G33" s="328">
        <f>'Zał.1_WPF_bazowy'!F33</f>
        <v>666776.02</v>
      </c>
      <c r="H33" s="329">
        <f>'Zał.1_WPF_bazowy'!G33</f>
        <v>302073.56</v>
      </c>
      <c r="I33" s="329">
        <f>'Zał.1_WPF_bazowy'!H33</f>
        <v>430300.18</v>
      </c>
      <c r="J33" s="430">
        <f>'Zał.1_WPF_bazowy'!I33</f>
        <v>929513.94</v>
      </c>
      <c r="K33" s="431">
        <f>+'Zał.1_WPF_bazowy'!J33</f>
        <v>1112000</v>
      </c>
      <c r="L33" s="432">
        <f>+'Zał.1_WPF_bazowy'!K33</f>
        <v>0</v>
      </c>
      <c r="M33" s="432">
        <f>+'Zał.1_WPF_bazowy'!L33</f>
        <v>0</v>
      </c>
      <c r="N33" s="432">
        <f>+'Zał.1_WPF_bazowy'!M33</f>
        <v>0</v>
      </c>
      <c r="O33" s="432">
        <f>+'Zał.1_WPF_bazowy'!N33</f>
        <v>0</v>
      </c>
      <c r="P33" s="432">
        <f>+'Zał.1_WPF_bazowy'!O33</f>
        <v>0</v>
      </c>
      <c r="Q33" s="432">
        <f>+'Zał.1_WPF_bazowy'!P33</f>
        <v>0</v>
      </c>
      <c r="R33" s="432">
        <f>+'Zał.1_WPF_bazowy'!Q33</f>
        <v>0</v>
      </c>
      <c r="S33" s="432">
        <f>+'Zał.1_WPF_bazowy'!R33</f>
        <v>0</v>
      </c>
      <c r="T33" s="432">
        <f>+'Zał.1_WPF_bazowy'!S33</f>
        <v>0</v>
      </c>
      <c r="U33" s="432">
        <f>+'Zał.1_WPF_bazowy'!T33</f>
        <v>0</v>
      </c>
      <c r="V33" s="432">
        <f>+'Zał.1_WPF_bazowy'!U33</f>
        <v>0</v>
      </c>
      <c r="W33" s="432">
        <f>+'Zał.1_WPF_bazowy'!V33</f>
        <v>0</v>
      </c>
      <c r="X33" s="432">
        <f>+'Zał.1_WPF_bazowy'!W33</f>
        <v>0</v>
      </c>
      <c r="Y33" s="432">
        <f>+'Zał.1_WPF_bazowy'!X33</f>
        <v>0</v>
      </c>
      <c r="Z33" s="432">
        <f>+'Zał.1_WPF_bazowy'!Y33</f>
        <v>0</v>
      </c>
      <c r="AA33" s="432">
        <f>+'Zał.1_WPF_bazowy'!Z33</f>
        <v>0</v>
      </c>
      <c r="AB33" s="432">
        <f>+'Zał.1_WPF_bazowy'!AA33</f>
        <v>0</v>
      </c>
      <c r="AC33" s="432">
        <f>+'Zał.1_WPF_bazowy'!AB33</f>
        <v>0</v>
      </c>
      <c r="AD33" s="432">
        <f>+'Zał.1_WPF_bazowy'!AC33</f>
        <v>0</v>
      </c>
      <c r="AE33" s="432">
        <f>+'Zał.1_WPF_bazowy'!AD33</f>
        <v>0</v>
      </c>
      <c r="AF33" s="432">
        <f>+'Zał.1_WPF_bazowy'!AE33</f>
        <v>0</v>
      </c>
      <c r="AG33" s="432">
        <f>+'Zał.1_WPF_bazowy'!AF33</f>
        <v>0</v>
      </c>
      <c r="AH33" s="432">
        <f>+'Zał.1_WPF_bazowy'!AG33</f>
        <v>0</v>
      </c>
      <c r="AI33" s="432">
        <f>+'Zał.1_WPF_bazowy'!AH33</f>
        <v>0</v>
      </c>
      <c r="AJ33" s="432">
        <f>+'Zał.1_WPF_bazowy'!AI33</f>
        <v>0</v>
      </c>
      <c r="AK33" s="432">
        <f>+'Zał.1_WPF_bazowy'!AJ33</f>
        <v>0</v>
      </c>
      <c r="AL33" s="432">
        <f>+'Zał.1_WPF_bazowy'!AK33</f>
        <v>0</v>
      </c>
      <c r="AM33" s="432">
        <f>+'Zał.1_WPF_bazowy'!AL33</f>
        <v>0</v>
      </c>
      <c r="AN33" s="433">
        <f>+'Zał.1_WPF_bazowy'!AM33</f>
        <v>0</v>
      </c>
    </row>
    <row r="34" spans="1:40" ht="14.25" outlineLevel="2">
      <c r="A34" s="185" t="s">
        <v>81</v>
      </c>
      <c r="B34" s="351"/>
      <c r="C34" s="187"/>
      <c r="D34" s="188"/>
      <c r="E34" s="647" t="s">
        <v>234</v>
      </c>
      <c r="F34" s="647"/>
      <c r="G34" s="328">
        <f>'Zał.1_WPF_bazowy'!F34</f>
        <v>46521.02</v>
      </c>
      <c r="H34" s="329">
        <f>'Zał.1_WPF_bazowy'!G34</f>
        <v>0</v>
      </c>
      <c r="I34" s="329">
        <f>'Zał.1_WPF_bazowy'!H34</f>
        <v>430300.18</v>
      </c>
      <c r="J34" s="430">
        <f>'Zał.1_WPF_bazowy'!I34</f>
        <v>0</v>
      </c>
      <c r="K34" s="431">
        <f>+'Zał.1_WPF_bazowy'!J34</f>
        <v>1112000</v>
      </c>
      <c r="L34" s="432">
        <f>+'Zał.1_WPF_bazowy'!K34</f>
        <v>0</v>
      </c>
      <c r="M34" s="432">
        <f>+'Zał.1_WPF_bazowy'!L34</f>
        <v>0</v>
      </c>
      <c r="N34" s="432">
        <f>+'Zał.1_WPF_bazowy'!M34</f>
        <v>0</v>
      </c>
      <c r="O34" s="432">
        <f>+'Zał.1_WPF_bazowy'!N34</f>
        <v>0</v>
      </c>
      <c r="P34" s="432">
        <f>+'Zał.1_WPF_bazowy'!O34</f>
        <v>0</v>
      </c>
      <c r="Q34" s="432">
        <f>+'Zał.1_WPF_bazowy'!P34</f>
        <v>0</v>
      </c>
      <c r="R34" s="432">
        <f>+'Zał.1_WPF_bazowy'!Q34</f>
        <v>0</v>
      </c>
      <c r="S34" s="432">
        <f>+'Zał.1_WPF_bazowy'!R34</f>
        <v>0</v>
      </c>
      <c r="T34" s="432">
        <f>+'Zał.1_WPF_bazowy'!S34</f>
        <v>0</v>
      </c>
      <c r="U34" s="432">
        <f>+'Zał.1_WPF_bazowy'!T34</f>
        <v>0</v>
      </c>
      <c r="V34" s="432">
        <f>+'Zał.1_WPF_bazowy'!U34</f>
        <v>0</v>
      </c>
      <c r="W34" s="432">
        <f>+'Zał.1_WPF_bazowy'!V34</f>
        <v>0</v>
      </c>
      <c r="X34" s="432">
        <f>+'Zał.1_WPF_bazowy'!W34</f>
        <v>0</v>
      </c>
      <c r="Y34" s="432">
        <f>+'Zał.1_WPF_bazowy'!X34</f>
        <v>0</v>
      </c>
      <c r="Z34" s="432">
        <f>+'Zał.1_WPF_bazowy'!Y34</f>
        <v>0</v>
      </c>
      <c r="AA34" s="432">
        <f>+'Zał.1_WPF_bazowy'!Z34</f>
        <v>0</v>
      </c>
      <c r="AB34" s="432">
        <f>+'Zał.1_WPF_bazowy'!AA34</f>
        <v>0</v>
      </c>
      <c r="AC34" s="432">
        <f>+'Zał.1_WPF_bazowy'!AB34</f>
        <v>0</v>
      </c>
      <c r="AD34" s="432">
        <f>+'Zał.1_WPF_bazowy'!AC34</f>
        <v>0</v>
      </c>
      <c r="AE34" s="432">
        <f>+'Zał.1_WPF_bazowy'!AD34</f>
        <v>0</v>
      </c>
      <c r="AF34" s="432">
        <f>+'Zał.1_WPF_bazowy'!AE34</f>
        <v>0</v>
      </c>
      <c r="AG34" s="432">
        <f>+'Zał.1_WPF_bazowy'!AF34</f>
        <v>0</v>
      </c>
      <c r="AH34" s="432">
        <f>+'Zał.1_WPF_bazowy'!AG34</f>
        <v>0</v>
      </c>
      <c r="AI34" s="432">
        <f>+'Zał.1_WPF_bazowy'!AH34</f>
        <v>0</v>
      </c>
      <c r="AJ34" s="432">
        <f>+'Zał.1_WPF_bazowy'!AI34</f>
        <v>0</v>
      </c>
      <c r="AK34" s="432">
        <f>+'Zał.1_WPF_bazowy'!AJ34</f>
        <v>0</v>
      </c>
      <c r="AL34" s="432">
        <f>+'Zał.1_WPF_bazowy'!AK34</f>
        <v>0</v>
      </c>
      <c r="AM34" s="432">
        <f>+'Zał.1_WPF_bazowy'!AL34</f>
        <v>0</v>
      </c>
      <c r="AN34" s="433">
        <f>+'Zał.1_WPF_bazowy'!AM34</f>
        <v>0</v>
      </c>
    </row>
    <row r="35" spans="1:40" ht="14.25" outlineLevel="2">
      <c r="A35" s="185" t="s">
        <v>174</v>
      </c>
      <c r="B35" s="351"/>
      <c r="C35" s="187"/>
      <c r="D35" s="647" t="s">
        <v>236</v>
      </c>
      <c r="E35" s="647"/>
      <c r="F35" s="647"/>
      <c r="G35" s="328">
        <f>'Zał.1_WPF_bazowy'!F35</f>
        <v>1900000</v>
      </c>
      <c r="H35" s="329">
        <f>'Zał.1_WPF_bazowy'!G35</f>
        <v>1500000</v>
      </c>
      <c r="I35" s="329">
        <f>'Zał.1_WPF_bazowy'!H35</f>
        <v>1352185</v>
      </c>
      <c r="J35" s="430">
        <f>'Zał.1_WPF_bazowy'!I35</f>
        <v>300000</v>
      </c>
      <c r="K35" s="431">
        <f>+'Zał.1_WPF_bazowy'!J35</f>
        <v>1310816</v>
      </c>
      <c r="L35" s="432">
        <f>+'Zał.1_WPF_bazowy'!K35</f>
        <v>486701.7</v>
      </c>
      <c r="M35" s="432">
        <f>+'Zał.1_WPF_bazowy'!L35</f>
        <v>0</v>
      </c>
      <c r="N35" s="432">
        <f>+'Zał.1_WPF_bazowy'!M35</f>
        <v>0</v>
      </c>
      <c r="O35" s="432">
        <f>+'Zał.1_WPF_bazowy'!N35</f>
        <v>0</v>
      </c>
      <c r="P35" s="432">
        <f>+'Zał.1_WPF_bazowy'!O35</f>
        <v>0</v>
      </c>
      <c r="Q35" s="432">
        <f>+'Zał.1_WPF_bazowy'!P35</f>
        <v>0</v>
      </c>
      <c r="R35" s="432">
        <f>+'Zał.1_WPF_bazowy'!Q35</f>
        <v>0</v>
      </c>
      <c r="S35" s="432">
        <f>+'Zał.1_WPF_bazowy'!R35</f>
        <v>0</v>
      </c>
      <c r="T35" s="432">
        <f>+'Zał.1_WPF_bazowy'!S35</f>
        <v>0</v>
      </c>
      <c r="U35" s="432">
        <f>+'Zał.1_WPF_bazowy'!T35</f>
        <v>0</v>
      </c>
      <c r="V35" s="432">
        <f>+'Zał.1_WPF_bazowy'!U35</f>
        <v>0</v>
      </c>
      <c r="W35" s="432">
        <f>+'Zał.1_WPF_bazowy'!V35</f>
        <v>0</v>
      </c>
      <c r="X35" s="432">
        <f>+'Zał.1_WPF_bazowy'!W35</f>
        <v>0</v>
      </c>
      <c r="Y35" s="432">
        <f>+'Zał.1_WPF_bazowy'!X35</f>
        <v>0</v>
      </c>
      <c r="Z35" s="432">
        <f>+'Zał.1_WPF_bazowy'!Y35</f>
        <v>0</v>
      </c>
      <c r="AA35" s="432">
        <f>+'Zał.1_WPF_bazowy'!Z35</f>
        <v>0</v>
      </c>
      <c r="AB35" s="432">
        <f>+'Zał.1_WPF_bazowy'!AA35</f>
        <v>0</v>
      </c>
      <c r="AC35" s="432">
        <f>+'Zał.1_WPF_bazowy'!AB35</f>
        <v>0</v>
      </c>
      <c r="AD35" s="432">
        <f>+'Zał.1_WPF_bazowy'!AC35</f>
        <v>0</v>
      </c>
      <c r="AE35" s="432">
        <f>+'Zał.1_WPF_bazowy'!AD35</f>
        <v>0</v>
      </c>
      <c r="AF35" s="432">
        <f>+'Zał.1_WPF_bazowy'!AE35</f>
        <v>0</v>
      </c>
      <c r="AG35" s="432">
        <f>+'Zał.1_WPF_bazowy'!AF35</f>
        <v>0</v>
      </c>
      <c r="AH35" s="432">
        <f>+'Zał.1_WPF_bazowy'!AG35</f>
        <v>0</v>
      </c>
      <c r="AI35" s="432">
        <f>+'Zał.1_WPF_bazowy'!AH35</f>
        <v>0</v>
      </c>
      <c r="AJ35" s="432">
        <f>+'Zał.1_WPF_bazowy'!AI35</f>
        <v>0</v>
      </c>
      <c r="AK35" s="432">
        <f>+'Zał.1_WPF_bazowy'!AJ35</f>
        <v>0</v>
      </c>
      <c r="AL35" s="432">
        <f>+'Zał.1_WPF_bazowy'!AK35</f>
        <v>0</v>
      </c>
      <c r="AM35" s="432">
        <f>+'Zał.1_WPF_bazowy'!AL35</f>
        <v>0</v>
      </c>
      <c r="AN35" s="433">
        <f>+'Zał.1_WPF_bazowy'!AM35</f>
        <v>0</v>
      </c>
    </row>
    <row r="36" spans="1:40" ht="14.25" outlineLevel="2">
      <c r="A36" s="185" t="s">
        <v>84</v>
      </c>
      <c r="B36" s="351"/>
      <c r="C36" s="187"/>
      <c r="D36" s="188"/>
      <c r="E36" s="647" t="s">
        <v>234</v>
      </c>
      <c r="F36" s="647"/>
      <c r="G36" s="328">
        <f>'Zał.1_WPF_bazowy'!F36</f>
        <v>1197927</v>
      </c>
      <c r="H36" s="329">
        <f>'Zał.1_WPF_bazowy'!G36</f>
        <v>0</v>
      </c>
      <c r="I36" s="329">
        <f>'Zał.1_WPF_bazowy'!H36</f>
        <v>0</v>
      </c>
      <c r="J36" s="430">
        <f>'Zał.1_WPF_bazowy'!I36</f>
        <v>0</v>
      </c>
      <c r="K36" s="431">
        <f>+'Zał.1_WPF_bazowy'!J36</f>
        <v>176821</v>
      </c>
      <c r="L36" s="432">
        <f>+'Zał.1_WPF_bazowy'!K36</f>
        <v>0</v>
      </c>
      <c r="M36" s="432">
        <f>+'Zał.1_WPF_bazowy'!L36</f>
        <v>0</v>
      </c>
      <c r="N36" s="432">
        <f>+'Zał.1_WPF_bazowy'!M36</f>
        <v>0</v>
      </c>
      <c r="O36" s="432">
        <f>+'Zał.1_WPF_bazowy'!N36</f>
        <v>0</v>
      </c>
      <c r="P36" s="432">
        <f>+'Zał.1_WPF_bazowy'!O36</f>
        <v>0</v>
      </c>
      <c r="Q36" s="432">
        <f>+'Zał.1_WPF_bazowy'!P36</f>
        <v>0</v>
      </c>
      <c r="R36" s="432">
        <f>+'Zał.1_WPF_bazowy'!Q36</f>
        <v>0</v>
      </c>
      <c r="S36" s="432">
        <f>+'Zał.1_WPF_bazowy'!R36</f>
        <v>0</v>
      </c>
      <c r="T36" s="432">
        <f>+'Zał.1_WPF_bazowy'!S36</f>
        <v>0</v>
      </c>
      <c r="U36" s="432">
        <f>+'Zał.1_WPF_bazowy'!T36</f>
        <v>0</v>
      </c>
      <c r="V36" s="432">
        <f>+'Zał.1_WPF_bazowy'!U36</f>
        <v>0</v>
      </c>
      <c r="W36" s="432">
        <f>+'Zał.1_WPF_bazowy'!V36</f>
        <v>0</v>
      </c>
      <c r="X36" s="432">
        <f>+'Zał.1_WPF_bazowy'!W36</f>
        <v>0</v>
      </c>
      <c r="Y36" s="432">
        <f>+'Zał.1_WPF_bazowy'!X36</f>
        <v>0</v>
      </c>
      <c r="Z36" s="432">
        <f>+'Zał.1_WPF_bazowy'!Y36</f>
        <v>0</v>
      </c>
      <c r="AA36" s="432">
        <f>+'Zał.1_WPF_bazowy'!Z36</f>
        <v>0</v>
      </c>
      <c r="AB36" s="432">
        <f>+'Zał.1_WPF_bazowy'!AA36</f>
        <v>0</v>
      </c>
      <c r="AC36" s="432">
        <f>+'Zał.1_WPF_bazowy'!AB36</f>
        <v>0</v>
      </c>
      <c r="AD36" s="432">
        <f>+'Zał.1_WPF_bazowy'!AC36</f>
        <v>0</v>
      </c>
      <c r="AE36" s="432">
        <f>+'Zał.1_WPF_bazowy'!AD36</f>
        <v>0</v>
      </c>
      <c r="AF36" s="432">
        <f>+'Zał.1_WPF_bazowy'!AE36</f>
        <v>0</v>
      </c>
      <c r="AG36" s="432">
        <f>+'Zał.1_WPF_bazowy'!AF36</f>
        <v>0</v>
      </c>
      <c r="AH36" s="432">
        <f>+'Zał.1_WPF_bazowy'!AG36</f>
        <v>0</v>
      </c>
      <c r="AI36" s="432">
        <f>+'Zał.1_WPF_bazowy'!AH36</f>
        <v>0</v>
      </c>
      <c r="AJ36" s="432">
        <f>+'Zał.1_WPF_bazowy'!AI36</f>
        <v>0</v>
      </c>
      <c r="AK36" s="432">
        <f>+'Zał.1_WPF_bazowy'!AJ36</f>
        <v>0</v>
      </c>
      <c r="AL36" s="432">
        <f>+'Zał.1_WPF_bazowy'!AK36</f>
        <v>0</v>
      </c>
      <c r="AM36" s="432">
        <f>+'Zał.1_WPF_bazowy'!AL36</f>
        <v>0</v>
      </c>
      <c r="AN36" s="433">
        <f>+'Zał.1_WPF_bazowy'!AM36</f>
        <v>0</v>
      </c>
    </row>
    <row r="37" spans="1:40" ht="14.25" outlineLevel="2">
      <c r="A37" s="185" t="s">
        <v>175</v>
      </c>
      <c r="B37" s="351"/>
      <c r="C37" s="187"/>
      <c r="D37" s="647" t="s">
        <v>237</v>
      </c>
      <c r="E37" s="647"/>
      <c r="F37" s="647"/>
      <c r="G37" s="328">
        <f>'Zał.1_WPF_bazowy'!F37</f>
        <v>0</v>
      </c>
      <c r="H37" s="329">
        <f>'Zał.1_WPF_bazowy'!G37</f>
        <v>0</v>
      </c>
      <c r="I37" s="329">
        <f>'Zał.1_WPF_bazowy'!H37</f>
        <v>0</v>
      </c>
      <c r="J37" s="430">
        <f>'Zał.1_WPF_bazowy'!I37</f>
        <v>0</v>
      </c>
      <c r="K37" s="431">
        <f>+'Zał.1_WPF_bazowy'!J37</f>
        <v>0</v>
      </c>
      <c r="L37" s="432">
        <f>+'Zał.1_WPF_bazowy'!K37</f>
        <v>0</v>
      </c>
      <c r="M37" s="432">
        <f>+'Zał.1_WPF_bazowy'!L37</f>
        <v>0</v>
      </c>
      <c r="N37" s="432">
        <f>+'Zał.1_WPF_bazowy'!M37</f>
        <v>0</v>
      </c>
      <c r="O37" s="432">
        <f>+'Zał.1_WPF_bazowy'!N37</f>
        <v>0</v>
      </c>
      <c r="P37" s="432">
        <f>+'Zał.1_WPF_bazowy'!O37</f>
        <v>0</v>
      </c>
      <c r="Q37" s="432">
        <f>+'Zał.1_WPF_bazowy'!P37</f>
        <v>0</v>
      </c>
      <c r="R37" s="432">
        <f>+'Zał.1_WPF_bazowy'!Q37</f>
        <v>0</v>
      </c>
      <c r="S37" s="432">
        <f>+'Zał.1_WPF_bazowy'!R37</f>
        <v>0</v>
      </c>
      <c r="T37" s="432">
        <f>+'Zał.1_WPF_bazowy'!S37</f>
        <v>0</v>
      </c>
      <c r="U37" s="432">
        <f>+'Zał.1_WPF_bazowy'!T37</f>
        <v>0</v>
      </c>
      <c r="V37" s="432">
        <f>+'Zał.1_WPF_bazowy'!U37</f>
        <v>0</v>
      </c>
      <c r="W37" s="432">
        <f>+'Zał.1_WPF_bazowy'!V37</f>
        <v>0</v>
      </c>
      <c r="X37" s="432">
        <f>+'Zał.1_WPF_bazowy'!W37</f>
        <v>0</v>
      </c>
      <c r="Y37" s="432">
        <f>+'Zał.1_WPF_bazowy'!X37</f>
        <v>0</v>
      </c>
      <c r="Z37" s="432">
        <f>+'Zał.1_WPF_bazowy'!Y37</f>
        <v>0</v>
      </c>
      <c r="AA37" s="432">
        <f>+'Zał.1_WPF_bazowy'!Z37</f>
        <v>0</v>
      </c>
      <c r="AB37" s="432">
        <f>+'Zał.1_WPF_bazowy'!AA37</f>
        <v>0</v>
      </c>
      <c r="AC37" s="432">
        <f>+'Zał.1_WPF_bazowy'!AB37</f>
        <v>0</v>
      </c>
      <c r="AD37" s="432">
        <f>+'Zał.1_WPF_bazowy'!AC37</f>
        <v>0</v>
      </c>
      <c r="AE37" s="432">
        <f>+'Zał.1_WPF_bazowy'!AD37</f>
        <v>0</v>
      </c>
      <c r="AF37" s="432">
        <f>+'Zał.1_WPF_bazowy'!AE37</f>
        <v>0</v>
      </c>
      <c r="AG37" s="432">
        <f>+'Zał.1_WPF_bazowy'!AF37</f>
        <v>0</v>
      </c>
      <c r="AH37" s="432">
        <f>+'Zał.1_WPF_bazowy'!AG37</f>
        <v>0</v>
      </c>
      <c r="AI37" s="432">
        <f>+'Zał.1_WPF_bazowy'!AH37</f>
        <v>0</v>
      </c>
      <c r="AJ37" s="432">
        <f>+'Zał.1_WPF_bazowy'!AI37</f>
        <v>0</v>
      </c>
      <c r="AK37" s="432">
        <f>+'Zał.1_WPF_bazowy'!AJ37</f>
        <v>0</v>
      </c>
      <c r="AL37" s="432">
        <f>+'Zał.1_WPF_bazowy'!AK37</f>
        <v>0</v>
      </c>
      <c r="AM37" s="432">
        <f>+'Zał.1_WPF_bazowy'!AL37</f>
        <v>0</v>
      </c>
      <c r="AN37" s="433">
        <f>+'Zał.1_WPF_bazowy'!AM37</f>
        <v>0</v>
      </c>
    </row>
    <row r="38" spans="1:40" ht="14.25" outlineLevel="2">
      <c r="A38" s="185" t="s">
        <v>86</v>
      </c>
      <c r="B38" s="351"/>
      <c r="C38" s="187"/>
      <c r="D38" s="188"/>
      <c r="E38" s="647" t="s">
        <v>234</v>
      </c>
      <c r="F38" s="647"/>
      <c r="G38" s="328">
        <f>'Zał.1_WPF_bazowy'!F38</f>
        <v>0</v>
      </c>
      <c r="H38" s="329">
        <f>'Zał.1_WPF_bazowy'!G38</f>
        <v>0</v>
      </c>
      <c r="I38" s="329">
        <f>'Zał.1_WPF_bazowy'!H38</f>
        <v>0</v>
      </c>
      <c r="J38" s="430">
        <f>'Zał.1_WPF_bazowy'!I38</f>
        <v>0</v>
      </c>
      <c r="K38" s="431">
        <f>+'Zał.1_WPF_bazowy'!J38</f>
        <v>0</v>
      </c>
      <c r="L38" s="432">
        <f>+'Zał.1_WPF_bazowy'!K38</f>
        <v>0</v>
      </c>
      <c r="M38" s="432">
        <f>+'Zał.1_WPF_bazowy'!L38</f>
        <v>0</v>
      </c>
      <c r="N38" s="432">
        <f>+'Zał.1_WPF_bazowy'!M38</f>
        <v>0</v>
      </c>
      <c r="O38" s="432">
        <f>+'Zał.1_WPF_bazowy'!N38</f>
        <v>0</v>
      </c>
      <c r="P38" s="432">
        <f>+'Zał.1_WPF_bazowy'!O38</f>
        <v>0</v>
      </c>
      <c r="Q38" s="432">
        <f>+'Zał.1_WPF_bazowy'!P38</f>
        <v>0</v>
      </c>
      <c r="R38" s="432">
        <f>+'Zał.1_WPF_bazowy'!Q38</f>
        <v>0</v>
      </c>
      <c r="S38" s="432">
        <f>+'Zał.1_WPF_bazowy'!R38</f>
        <v>0</v>
      </c>
      <c r="T38" s="432">
        <f>+'Zał.1_WPF_bazowy'!S38</f>
        <v>0</v>
      </c>
      <c r="U38" s="432">
        <f>+'Zał.1_WPF_bazowy'!T38</f>
        <v>0</v>
      </c>
      <c r="V38" s="432">
        <f>+'Zał.1_WPF_bazowy'!U38</f>
        <v>0</v>
      </c>
      <c r="W38" s="432">
        <f>+'Zał.1_WPF_bazowy'!V38</f>
        <v>0</v>
      </c>
      <c r="X38" s="432">
        <f>+'Zał.1_WPF_bazowy'!W38</f>
        <v>0</v>
      </c>
      <c r="Y38" s="432">
        <f>+'Zał.1_WPF_bazowy'!X38</f>
        <v>0</v>
      </c>
      <c r="Z38" s="432">
        <f>+'Zał.1_WPF_bazowy'!Y38</f>
        <v>0</v>
      </c>
      <c r="AA38" s="432">
        <f>+'Zał.1_WPF_bazowy'!Z38</f>
        <v>0</v>
      </c>
      <c r="AB38" s="432">
        <f>+'Zał.1_WPF_bazowy'!AA38</f>
        <v>0</v>
      </c>
      <c r="AC38" s="432">
        <f>+'Zał.1_WPF_bazowy'!AB38</f>
        <v>0</v>
      </c>
      <c r="AD38" s="432">
        <f>+'Zał.1_WPF_bazowy'!AC38</f>
        <v>0</v>
      </c>
      <c r="AE38" s="432">
        <f>+'Zał.1_WPF_bazowy'!AD38</f>
        <v>0</v>
      </c>
      <c r="AF38" s="432">
        <f>+'Zał.1_WPF_bazowy'!AE38</f>
        <v>0</v>
      </c>
      <c r="AG38" s="432">
        <f>+'Zał.1_WPF_bazowy'!AF38</f>
        <v>0</v>
      </c>
      <c r="AH38" s="432">
        <f>+'Zał.1_WPF_bazowy'!AG38</f>
        <v>0</v>
      </c>
      <c r="AI38" s="432">
        <f>+'Zał.1_WPF_bazowy'!AH38</f>
        <v>0</v>
      </c>
      <c r="AJ38" s="432">
        <f>+'Zał.1_WPF_bazowy'!AI38</f>
        <v>0</v>
      </c>
      <c r="AK38" s="432">
        <f>+'Zał.1_WPF_bazowy'!AJ38</f>
        <v>0</v>
      </c>
      <c r="AL38" s="432">
        <f>+'Zał.1_WPF_bazowy'!AK38</f>
        <v>0</v>
      </c>
      <c r="AM38" s="432">
        <f>+'Zał.1_WPF_bazowy'!AL38</f>
        <v>0</v>
      </c>
      <c r="AN38" s="433">
        <f>+'Zał.1_WPF_bazowy'!AM38</f>
        <v>0</v>
      </c>
    </row>
    <row r="39" spans="1:40" s="184" customFormat="1" ht="15.75" outlineLevel="1" thickBot="1">
      <c r="A39" s="183">
        <v>5</v>
      </c>
      <c r="B39" s="350" t="s">
        <v>445</v>
      </c>
      <c r="C39" s="648" t="s">
        <v>87</v>
      </c>
      <c r="D39" s="649"/>
      <c r="E39" s="649"/>
      <c r="F39" s="649"/>
      <c r="G39" s="326">
        <f>'Zał.1_WPF_bazowy'!F39</f>
        <v>1020254</v>
      </c>
      <c r="H39" s="327">
        <f>'Zał.1_WPF_bazowy'!G39</f>
        <v>1242259.44</v>
      </c>
      <c r="I39" s="327">
        <f>'Zał.1_WPF_bazowy'!H39</f>
        <v>1049260</v>
      </c>
      <c r="J39" s="155">
        <f>+J40+J43</f>
        <v>1049259.44</v>
      </c>
      <c r="K39" s="153">
        <f>+K40+K43</f>
        <v>1133995</v>
      </c>
      <c r="L39" s="154">
        <f aca="true" t="shared" si="4" ref="L39:AN39">+L40+L43</f>
        <v>694000</v>
      </c>
      <c r="M39" s="154">
        <f t="shared" si="4"/>
        <v>826000</v>
      </c>
      <c r="N39" s="154">
        <f t="shared" si="4"/>
        <v>1050000</v>
      </c>
      <c r="O39" s="154">
        <f t="shared" si="4"/>
        <v>1150000</v>
      </c>
      <c r="P39" s="154">
        <f t="shared" si="4"/>
        <v>1123921</v>
      </c>
      <c r="Q39" s="154">
        <f t="shared" si="4"/>
        <v>1000000</v>
      </c>
      <c r="R39" s="154">
        <f t="shared" si="4"/>
        <v>249496.46</v>
      </c>
      <c r="S39" s="154">
        <f t="shared" si="4"/>
        <v>0</v>
      </c>
      <c r="T39" s="154">
        <f t="shared" si="4"/>
        <v>0</v>
      </c>
      <c r="U39" s="154">
        <f t="shared" si="4"/>
        <v>0</v>
      </c>
      <c r="V39" s="154">
        <f t="shared" si="4"/>
        <v>0</v>
      </c>
      <c r="W39" s="154">
        <f t="shared" si="4"/>
        <v>0</v>
      </c>
      <c r="X39" s="154">
        <f t="shared" si="4"/>
        <v>0</v>
      </c>
      <c r="Y39" s="154">
        <f t="shared" si="4"/>
        <v>0</v>
      </c>
      <c r="Z39" s="154">
        <f t="shared" si="4"/>
        <v>0</v>
      </c>
      <c r="AA39" s="154">
        <f t="shared" si="4"/>
        <v>0</v>
      </c>
      <c r="AB39" s="154">
        <f t="shared" si="4"/>
        <v>0</v>
      </c>
      <c r="AC39" s="154">
        <f t="shared" si="4"/>
        <v>0</v>
      </c>
      <c r="AD39" s="154">
        <f t="shared" si="4"/>
        <v>0</v>
      </c>
      <c r="AE39" s="154">
        <f t="shared" si="4"/>
        <v>0</v>
      </c>
      <c r="AF39" s="154">
        <f t="shared" si="4"/>
        <v>0</v>
      </c>
      <c r="AG39" s="154">
        <f t="shared" si="4"/>
        <v>0</v>
      </c>
      <c r="AH39" s="154">
        <f t="shared" si="4"/>
        <v>0</v>
      </c>
      <c r="AI39" s="154">
        <f t="shared" si="4"/>
        <v>0</v>
      </c>
      <c r="AJ39" s="154">
        <f t="shared" si="4"/>
        <v>0</v>
      </c>
      <c r="AK39" s="154">
        <f t="shared" si="4"/>
        <v>0</v>
      </c>
      <c r="AL39" s="154">
        <f t="shared" si="4"/>
        <v>0</v>
      </c>
      <c r="AM39" s="154">
        <f t="shared" si="4"/>
        <v>0</v>
      </c>
      <c r="AN39" s="155">
        <f t="shared" si="4"/>
        <v>0</v>
      </c>
    </row>
    <row r="40" spans="1:256" s="190" customFormat="1" ht="24" customHeight="1" outlineLevel="2">
      <c r="A40" s="185" t="s">
        <v>176</v>
      </c>
      <c r="B40" s="351"/>
      <c r="C40" s="187"/>
      <c r="D40" s="647" t="s">
        <v>238</v>
      </c>
      <c r="E40" s="647"/>
      <c r="F40" s="647"/>
      <c r="G40" s="328">
        <f>'Zał.1_WPF_bazowy'!F40</f>
        <v>1020254</v>
      </c>
      <c r="H40" s="329">
        <f>'Zał.1_WPF_bazowy'!G40</f>
        <v>1242259.44</v>
      </c>
      <c r="I40" s="329">
        <f>'Zał.1_WPF_bazowy'!H40</f>
        <v>1049260</v>
      </c>
      <c r="J40" s="430">
        <f>'Zał.1_WPF_bazowy'!I40</f>
        <v>1049259.44</v>
      </c>
      <c r="K40" s="431">
        <f>+'Zał.1_WPF_bazowy'!J40</f>
        <v>1133995</v>
      </c>
      <c r="L40" s="432">
        <f>+'Zał.1_WPF_bazowy'!K40</f>
        <v>694000</v>
      </c>
      <c r="M40" s="432">
        <f>+'Zał.1_WPF_bazowy'!L40</f>
        <v>826000</v>
      </c>
      <c r="N40" s="432">
        <f>+'Zał.1_WPF_bazowy'!M40</f>
        <v>1050000</v>
      </c>
      <c r="O40" s="432">
        <f>+'Zał.1_WPF_bazowy'!N40</f>
        <v>1150000</v>
      </c>
      <c r="P40" s="432">
        <f>+'Zał.1_WPF_bazowy'!O40</f>
        <v>1123921</v>
      </c>
      <c r="Q40" s="432">
        <f>+'Zał.1_WPF_bazowy'!P40</f>
        <v>1000000</v>
      </c>
      <c r="R40" s="432">
        <f>+'Zał.1_WPF_bazowy'!Q40</f>
        <v>249496.46</v>
      </c>
      <c r="S40" s="432">
        <f>+'Zał.1_WPF_bazowy'!R40</f>
        <v>0</v>
      </c>
      <c r="T40" s="432">
        <f>+'Zał.1_WPF_bazowy'!S40</f>
        <v>0</v>
      </c>
      <c r="U40" s="432">
        <f>+'Zał.1_WPF_bazowy'!T40</f>
        <v>0</v>
      </c>
      <c r="V40" s="432">
        <f>+'Zał.1_WPF_bazowy'!U40</f>
        <v>0</v>
      </c>
      <c r="W40" s="432">
        <f>+'Zał.1_WPF_bazowy'!V40</f>
        <v>0</v>
      </c>
      <c r="X40" s="432">
        <f>+'Zał.1_WPF_bazowy'!W40</f>
        <v>0</v>
      </c>
      <c r="Y40" s="432">
        <f>+'Zał.1_WPF_bazowy'!X40</f>
        <v>0</v>
      </c>
      <c r="Z40" s="432">
        <f>+'Zał.1_WPF_bazowy'!Y40</f>
        <v>0</v>
      </c>
      <c r="AA40" s="432">
        <f>+'Zał.1_WPF_bazowy'!Z40</f>
        <v>0</v>
      </c>
      <c r="AB40" s="432">
        <f>+'Zał.1_WPF_bazowy'!AA40</f>
        <v>0</v>
      </c>
      <c r="AC40" s="432">
        <f>+'Zał.1_WPF_bazowy'!AB40</f>
        <v>0</v>
      </c>
      <c r="AD40" s="432">
        <f>+'Zał.1_WPF_bazowy'!AC40</f>
        <v>0</v>
      </c>
      <c r="AE40" s="432">
        <f>+'Zał.1_WPF_bazowy'!AD40</f>
        <v>0</v>
      </c>
      <c r="AF40" s="432">
        <f>+'Zał.1_WPF_bazowy'!AE40</f>
        <v>0</v>
      </c>
      <c r="AG40" s="432">
        <f>+'Zał.1_WPF_bazowy'!AF40</f>
        <v>0</v>
      </c>
      <c r="AH40" s="432">
        <f>+'Zał.1_WPF_bazowy'!AG40</f>
        <v>0</v>
      </c>
      <c r="AI40" s="432">
        <f>+'Zał.1_WPF_bazowy'!AH40</f>
        <v>0</v>
      </c>
      <c r="AJ40" s="432">
        <f>+'Zał.1_WPF_bazowy'!AI40</f>
        <v>0</v>
      </c>
      <c r="AK40" s="432">
        <f>+'Zał.1_WPF_bazowy'!AJ40</f>
        <v>0</v>
      </c>
      <c r="AL40" s="432">
        <f>+'Zał.1_WPF_bazowy'!AK40</f>
        <v>0</v>
      </c>
      <c r="AM40" s="432">
        <f>+'Zał.1_WPF_bazowy'!AL40</f>
        <v>0</v>
      </c>
      <c r="AN40" s="433">
        <f>+'Zał.1_WPF_bazowy'!AM40</f>
        <v>0</v>
      </c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  <c r="IR40" s="160"/>
      <c r="IS40" s="160"/>
      <c r="IT40" s="160"/>
      <c r="IU40" s="160"/>
      <c r="IV40" s="160"/>
    </row>
    <row r="41" spans="1:256" s="172" customFormat="1" ht="84" customHeight="1" outlineLevel="2">
      <c r="A41" s="185" t="s">
        <v>89</v>
      </c>
      <c r="B41" s="351"/>
      <c r="C41" s="187"/>
      <c r="D41" s="188"/>
      <c r="E41" s="647" t="s">
        <v>239</v>
      </c>
      <c r="F41" s="647"/>
      <c r="G41" s="328">
        <f>'Zał.1_WPF_bazowy'!F41</f>
        <v>0</v>
      </c>
      <c r="H41" s="329">
        <f>'Zał.1_WPF_bazowy'!G41</f>
        <v>0</v>
      </c>
      <c r="I41" s="329">
        <f>'Zał.1_WPF_bazowy'!H41</f>
        <v>0</v>
      </c>
      <c r="J41" s="430">
        <f>'Zał.1_WPF_bazowy'!I41</f>
        <v>0</v>
      </c>
      <c r="K41" s="431">
        <f>+'Zał.1_WPF_bazowy'!J41</f>
        <v>0</v>
      </c>
      <c r="L41" s="432">
        <f>+'Zał.1_WPF_bazowy'!K41</f>
        <v>0</v>
      </c>
      <c r="M41" s="432">
        <f>+'Zał.1_WPF_bazowy'!L41</f>
        <v>0</v>
      </c>
      <c r="N41" s="432">
        <f>+'Zał.1_WPF_bazowy'!M41</f>
        <v>0</v>
      </c>
      <c r="O41" s="432">
        <f>+'Zał.1_WPF_bazowy'!N41</f>
        <v>0</v>
      </c>
      <c r="P41" s="432">
        <f>+'Zał.1_WPF_bazowy'!O41</f>
        <v>0</v>
      </c>
      <c r="Q41" s="432">
        <f>+'Zał.1_WPF_bazowy'!P41</f>
        <v>0</v>
      </c>
      <c r="R41" s="432">
        <f>+'Zał.1_WPF_bazowy'!Q41</f>
        <v>0</v>
      </c>
      <c r="S41" s="432">
        <f>+'Zał.1_WPF_bazowy'!R41</f>
        <v>0</v>
      </c>
      <c r="T41" s="432">
        <f>+'Zał.1_WPF_bazowy'!S41</f>
        <v>0</v>
      </c>
      <c r="U41" s="432">
        <f>+'Zał.1_WPF_bazowy'!T41</f>
        <v>0</v>
      </c>
      <c r="V41" s="432">
        <f>+'Zał.1_WPF_bazowy'!U41</f>
        <v>0</v>
      </c>
      <c r="W41" s="432">
        <f>+'Zał.1_WPF_bazowy'!V41</f>
        <v>0</v>
      </c>
      <c r="X41" s="432">
        <f>+'Zał.1_WPF_bazowy'!W41</f>
        <v>0</v>
      </c>
      <c r="Y41" s="432">
        <f>+'Zał.1_WPF_bazowy'!X41</f>
        <v>0</v>
      </c>
      <c r="Z41" s="432">
        <f>+'Zał.1_WPF_bazowy'!Y41</f>
        <v>0</v>
      </c>
      <c r="AA41" s="432">
        <f>+'Zał.1_WPF_bazowy'!Z41</f>
        <v>0</v>
      </c>
      <c r="AB41" s="432">
        <f>+'Zał.1_WPF_bazowy'!AA41</f>
        <v>0</v>
      </c>
      <c r="AC41" s="432">
        <f>+'Zał.1_WPF_bazowy'!AB41</f>
        <v>0</v>
      </c>
      <c r="AD41" s="432">
        <f>+'Zał.1_WPF_bazowy'!AC41</f>
        <v>0</v>
      </c>
      <c r="AE41" s="432">
        <f>+'Zał.1_WPF_bazowy'!AD41</f>
        <v>0</v>
      </c>
      <c r="AF41" s="432">
        <f>+'Zał.1_WPF_bazowy'!AE41</f>
        <v>0</v>
      </c>
      <c r="AG41" s="432">
        <f>+'Zał.1_WPF_bazowy'!AF41</f>
        <v>0</v>
      </c>
      <c r="AH41" s="432">
        <f>+'Zał.1_WPF_bazowy'!AG41</f>
        <v>0</v>
      </c>
      <c r="AI41" s="432">
        <f>+'Zał.1_WPF_bazowy'!AH41</f>
        <v>0</v>
      </c>
      <c r="AJ41" s="432">
        <f>+'Zał.1_WPF_bazowy'!AI41</f>
        <v>0</v>
      </c>
      <c r="AK41" s="432">
        <f>+'Zał.1_WPF_bazowy'!AJ41</f>
        <v>0</v>
      </c>
      <c r="AL41" s="432">
        <f>+'Zał.1_WPF_bazowy'!AK41</f>
        <v>0</v>
      </c>
      <c r="AM41" s="432">
        <f>+'Zał.1_WPF_bazowy'!AL41</f>
        <v>0</v>
      </c>
      <c r="AN41" s="433">
        <f>+'Zał.1_WPF_bazowy'!AM41</f>
        <v>0</v>
      </c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60"/>
      <c r="FK41" s="160"/>
      <c r="FL41" s="160"/>
      <c r="FM41" s="160"/>
      <c r="FN41" s="160"/>
      <c r="FO41" s="160"/>
      <c r="FP41" s="160"/>
      <c r="FQ41" s="160"/>
      <c r="FR41" s="160"/>
      <c r="FS41" s="160"/>
      <c r="FT41" s="160"/>
      <c r="FU41" s="160"/>
      <c r="FV41" s="160"/>
      <c r="FW41" s="160"/>
      <c r="FX41" s="160"/>
      <c r="FY41" s="160"/>
      <c r="FZ41" s="160"/>
      <c r="GA41" s="160"/>
      <c r="GB41" s="160"/>
      <c r="GC41" s="160"/>
      <c r="GD41" s="160"/>
      <c r="GE41" s="160"/>
      <c r="GF41" s="160"/>
      <c r="GG41" s="160"/>
      <c r="GH41" s="160"/>
      <c r="GI41" s="160"/>
      <c r="GJ41" s="160"/>
      <c r="GK41" s="160"/>
      <c r="GL41" s="160"/>
      <c r="GM41" s="160"/>
      <c r="GN41" s="160"/>
      <c r="GO41" s="160"/>
      <c r="GP41" s="160"/>
      <c r="GQ41" s="160"/>
      <c r="GR41" s="160"/>
      <c r="GS41" s="160"/>
      <c r="GT41" s="160"/>
      <c r="GU41" s="160"/>
      <c r="GV41" s="160"/>
      <c r="GW41" s="160"/>
      <c r="GX41" s="160"/>
      <c r="GY41" s="160"/>
      <c r="GZ41" s="160"/>
      <c r="HA41" s="160"/>
      <c r="HB41" s="160"/>
      <c r="HC41" s="160"/>
      <c r="HD41" s="160"/>
      <c r="HE41" s="160"/>
      <c r="HF41" s="160"/>
      <c r="HG41" s="160"/>
      <c r="HH41" s="160"/>
      <c r="HI41" s="160"/>
      <c r="HJ41" s="160"/>
      <c r="HK41" s="160"/>
      <c r="HL41" s="160"/>
      <c r="HM41" s="160"/>
      <c r="HN41" s="160"/>
      <c r="HO41" s="160"/>
      <c r="HP41" s="160"/>
      <c r="HQ41" s="160"/>
      <c r="HR41" s="160"/>
      <c r="HS41" s="160"/>
      <c r="HT41" s="160"/>
      <c r="HU41" s="160"/>
      <c r="HV41" s="160"/>
      <c r="HW41" s="160"/>
      <c r="HX41" s="160"/>
      <c r="HY41" s="160"/>
      <c r="HZ41" s="160"/>
      <c r="IA41" s="160"/>
      <c r="IB41" s="160"/>
      <c r="IC41" s="160"/>
      <c r="ID41" s="160"/>
      <c r="IE41" s="160"/>
      <c r="IF41" s="160"/>
      <c r="IG41" s="160"/>
      <c r="IH41" s="160"/>
      <c r="II41" s="160"/>
      <c r="IJ41" s="160"/>
      <c r="IK41" s="160"/>
      <c r="IL41" s="160"/>
      <c r="IM41" s="160"/>
      <c r="IN41" s="160"/>
      <c r="IO41" s="160"/>
      <c r="IP41" s="160"/>
      <c r="IQ41" s="160"/>
      <c r="IR41" s="160"/>
      <c r="IS41" s="160"/>
      <c r="IT41" s="160"/>
      <c r="IU41" s="160"/>
      <c r="IV41" s="160"/>
    </row>
    <row r="42" spans="1:40" ht="24" outlineLevel="2">
      <c r="A42" s="185" t="s">
        <v>91</v>
      </c>
      <c r="B42" s="351"/>
      <c r="C42" s="187"/>
      <c r="D42" s="188"/>
      <c r="E42" s="188"/>
      <c r="F42" s="192" t="s">
        <v>240</v>
      </c>
      <c r="G42" s="328">
        <f>'Zał.1_WPF_bazowy'!F42</f>
        <v>0</v>
      </c>
      <c r="H42" s="329">
        <f>'Zał.1_WPF_bazowy'!G42</f>
        <v>0</v>
      </c>
      <c r="I42" s="329">
        <f>'Zał.1_WPF_bazowy'!H42</f>
        <v>0</v>
      </c>
      <c r="J42" s="430">
        <f>'Zał.1_WPF_bazowy'!I42</f>
        <v>0</v>
      </c>
      <c r="K42" s="431">
        <f>+'Zał.1_WPF_bazowy'!J42</f>
        <v>0</v>
      </c>
      <c r="L42" s="432">
        <f>+'Zał.1_WPF_bazowy'!K42</f>
        <v>0</v>
      </c>
      <c r="M42" s="432">
        <f>+'Zał.1_WPF_bazowy'!L42</f>
        <v>0</v>
      </c>
      <c r="N42" s="432">
        <f>+'Zał.1_WPF_bazowy'!M42</f>
        <v>0</v>
      </c>
      <c r="O42" s="432">
        <f>+'Zał.1_WPF_bazowy'!N42</f>
        <v>0</v>
      </c>
      <c r="P42" s="432">
        <f>+'Zał.1_WPF_bazowy'!O42</f>
        <v>0</v>
      </c>
      <c r="Q42" s="432">
        <f>+'Zał.1_WPF_bazowy'!P42</f>
        <v>0</v>
      </c>
      <c r="R42" s="432">
        <f>+'Zał.1_WPF_bazowy'!Q42</f>
        <v>0</v>
      </c>
      <c r="S42" s="432">
        <f>+'Zał.1_WPF_bazowy'!R42</f>
        <v>0</v>
      </c>
      <c r="T42" s="432">
        <f>+'Zał.1_WPF_bazowy'!S42</f>
        <v>0</v>
      </c>
      <c r="U42" s="432">
        <f>+'Zał.1_WPF_bazowy'!T42</f>
        <v>0</v>
      </c>
      <c r="V42" s="432">
        <f>+'Zał.1_WPF_bazowy'!U42</f>
        <v>0</v>
      </c>
      <c r="W42" s="432">
        <f>+'Zał.1_WPF_bazowy'!V42</f>
        <v>0</v>
      </c>
      <c r="X42" s="432">
        <f>+'Zał.1_WPF_bazowy'!W42</f>
        <v>0</v>
      </c>
      <c r="Y42" s="432">
        <f>+'Zał.1_WPF_bazowy'!X42</f>
        <v>0</v>
      </c>
      <c r="Z42" s="432">
        <f>+'Zał.1_WPF_bazowy'!Y42</f>
        <v>0</v>
      </c>
      <c r="AA42" s="432">
        <f>+'Zał.1_WPF_bazowy'!Z42</f>
        <v>0</v>
      </c>
      <c r="AB42" s="432">
        <f>+'Zał.1_WPF_bazowy'!AA42</f>
        <v>0</v>
      </c>
      <c r="AC42" s="432">
        <f>+'Zał.1_WPF_bazowy'!AB42</f>
        <v>0</v>
      </c>
      <c r="AD42" s="432">
        <f>+'Zał.1_WPF_bazowy'!AC42</f>
        <v>0</v>
      </c>
      <c r="AE42" s="432">
        <f>+'Zał.1_WPF_bazowy'!AD42</f>
        <v>0</v>
      </c>
      <c r="AF42" s="432">
        <f>+'Zał.1_WPF_bazowy'!AE42</f>
        <v>0</v>
      </c>
      <c r="AG42" s="432">
        <f>+'Zał.1_WPF_bazowy'!AF42</f>
        <v>0</v>
      </c>
      <c r="AH42" s="432">
        <f>+'Zał.1_WPF_bazowy'!AG42</f>
        <v>0</v>
      </c>
      <c r="AI42" s="432">
        <f>+'Zał.1_WPF_bazowy'!AH42</f>
        <v>0</v>
      </c>
      <c r="AJ42" s="432">
        <f>+'Zał.1_WPF_bazowy'!AI42</f>
        <v>0</v>
      </c>
      <c r="AK42" s="432">
        <f>+'Zał.1_WPF_bazowy'!AJ42</f>
        <v>0</v>
      </c>
      <c r="AL42" s="432">
        <f>+'Zał.1_WPF_bazowy'!AK42</f>
        <v>0</v>
      </c>
      <c r="AM42" s="432">
        <f>+'Zał.1_WPF_bazowy'!AL42</f>
        <v>0</v>
      </c>
      <c r="AN42" s="433">
        <f>+'Zał.1_WPF_bazowy'!AM42</f>
        <v>0</v>
      </c>
    </row>
    <row r="43" spans="1:40" ht="14.25" outlineLevel="2">
      <c r="A43" s="185" t="s">
        <v>177</v>
      </c>
      <c r="B43" s="351"/>
      <c r="C43" s="187"/>
      <c r="D43" s="647" t="s">
        <v>241</v>
      </c>
      <c r="E43" s="647"/>
      <c r="F43" s="647"/>
      <c r="G43" s="328">
        <f>'Zał.1_WPF_bazowy'!F43</f>
        <v>0</v>
      </c>
      <c r="H43" s="329">
        <f>'Zał.1_WPF_bazowy'!G43</f>
        <v>0</v>
      </c>
      <c r="I43" s="329">
        <f>'Zał.1_WPF_bazowy'!H43</f>
        <v>0</v>
      </c>
      <c r="J43" s="430">
        <f>'Zał.1_WPF_bazowy'!I43</f>
        <v>0</v>
      </c>
      <c r="K43" s="431">
        <f>+'Zał.1_WPF_bazowy'!J43</f>
        <v>0</v>
      </c>
      <c r="L43" s="432">
        <f>+'Zał.1_WPF_bazowy'!K43</f>
        <v>0</v>
      </c>
      <c r="M43" s="432">
        <f>+'Zał.1_WPF_bazowy'!L43</f>
        <v>0</v>
      </c>
      <c r="N43" s="432">
        <f>+'Zał.1_WPF_bazowy'!M43</f>
        <v>0</v>
      </c>
      <c r="O43" s="432">
        <f>+'Zał.1_WPF_bazowy'!N43</f>
        <v>0</v>
      </c>
      <c r="P43" s="432">
        <f>+'Zał.1_WPF_bazowy'!O43</f>
        <v>0</v>
      </c>
      <c r="Q43" s="432">
        <f>+'Zał.1_WPF_bazowy'!P43</f>
        <v>0</v>
      </c>
      <c r="R43" s="432">
        <f>+'Zał.1_WPF_bazowy'!Q43</f>
        <v>0</v>
      </c>
      <c r="S43" s="432">
        <f>+'Zał.1_WPF_bazowy'!R43</f>
        <v>0</v>
      </c>
      <c r="T43" s="432">
        <f>+'Zał.1_WPF_bazowy'!S43</f>
        <v>0</v>
      </c>
      <c r="U43" s="432">
        <f>+'Zał.1_WPF_bazowy'!T43</f>
        <v>0</v>
      </c>
      <c r="V43" s="432">
        <f>+'Zał.1_WPF_bazowy'!U43</f>
        <v>0</v>
      </c>
      <c r="W43" s="432">
        <f>+'Zał.1_WPF_bazowy'!V43</f>
        <v>0</v>
      </c>
      <c r="X43" s="432">
        <f>+'Zał.1_WPF_bazowy'!W43</f>
        <v>0</v>
      </c>
      <c r="Y43" s="432">
        <f>+'Zał.1_WPF_bazowy'!X43</f>
        <v>0</v>
      </c>
      <c r="Z43" s="432">
        <f>+'Zał.1_WPF_bazowy'!Y43</f>
        <v>0</v>
      </c>
      <c r="AA43" s="432">
        <f>+'Zał.1_WPF_bazowy'!Z43</f>
        <v>0</v>
      </c>
      <c r="AB43" s="432">
        <f>+'Zał.1_WPF_bazowy'!AA43</f>
        <v>0</v>
      </c>
      <c r="AC43" s="432">
        <f>+'Zał.1_WPF_bazowy'!AB43</f>
        <v>0</v>
      </c>
      <c r="AD43" s="432">
        <f>+'Zał.1_WPF_bazowy'!AC43</f>
        <v>0</v>
      </c>
      <c r="AE43" s="432">
        <f>+'Zał.1_WPF_bazowy'!AD43</f>
        <v>0</v>
      </c>
      <c r="AF43" s="432">
        <f>+'Zał.1_WPF_bazowy'!AE43</f>
        <v>0</v>
      </c>
      <c r="AG43" s="432">
        <f>+'Zał.1_WPF_bazowy'!AF43</f>
        <v>0</v>
      </c>
      <c r="AH43" s="432">
        <f>+'Zał.1_WPF_bazowy'!AG43</f>
        <v>0</v>
      </c>
      <c r="AI43" s="432">
        <f>+'Zał.1_WPF_bazowy'!AH43</f>
        <v>0</v>
      </c>
      <c r="AJ43" s="432">
        <f>+'Zał.1_WPF_bazowy'!AI43</f>
        <v>0</v>
      </c>
      <c r="AK43" s="432">
        <f>+'Zał.1_WPF_bazowy'!AJ43</f>
        <v>0</v>
      </c>
      <c r="AL43" s="432">
        <f>+'Zał.1_WPF_bazowy'!AK43</f>
        <v>0</v>
      </c>
      <c r="AM43" s="432">
        <f>+'Zał.1_WPF_bazowy'!AL43</f>
        <v>0</v>
      </c>
      <c r="AN43" s="433">
        <f>+'Zał.1_WPF_bazowy'!AM43</f>
        <v>0</v>
      </c>
    </row>
    <row r="44" spans="1:40" s="184" customFormat="1" ht="15" outlineLevel="1">
      <c r="A44" s="183">
        <v>6</v>
      </c>
      <c r="B44" s="350"/>
      <c r="C44" s="648" t="s">
        <v>27</v>
      </c>
      <c r="D44" s="649"/>
      <c r="E44" s="649"/>
      <c r="F44" s="649"/>
      <c r="G44" s="326">
        <f>'Zał.1_WPF_bazowy'!F44</f>
        <v>6131413.64</v>
      </c>
      <c r="H44" s="327">
        <f>'Zał.1_WPF_bazowy'!G44</f>
        <v>6389154.2</v>
      </c>
      <c r="I44" s="327">
        <f>'Zał.1_WPF_bazowy'!H44</f>
        <v>6692079.2</v>
      </c>
      <c r="J44" s="435">
        <f>'Zał.1_WPF_bazowy'!I44</f>
        <v>5430035.79</v>
      </c>
      <c r="K44" s="436">
        <f>+IF(K10&lt;&gt;0,J44+K35-K40+(K49-J49)+(K99-J99)+K104,0)</f>
        <v>5606715.76</v>
      </c>
      <c r="L44" s="437">
        <f aca="true" t="shared" si="5" ref="L44:AN44">+IF(L10&lt;&gt;0,K44+L35-L40+(L49-K49)+(L99-K99)+L104,0)</f>
        <v>5399417.46</v>
      </c>
      <c r="M44" s="437">
        <f t="shared" si="5"/>
        <v>4573417.46</v>
      </c>
      <c r="N44" s="437">
        <f t="shared" si="5"/>
        <v>3523417.46</v>
      </c>
      <c r="O44" s="437">
        <f t="shared" si="5"/>
        <v>2373417.46</v>
      </c>
      <c r="P44" s="437">
        <f t="shared" si="5"/>
        <v>1249496.46</v>
      </c>
      <c r="Q44" s="437">
        <f t="shared" si="5"/>
        <v>249496.45999999996</v>
      </c>
      <c r="R44" s="437">
        <f t="shared" si="5"/>
        <v>-2.9103830456733704E-11</v>
      </c>
      <c r="S44" s="437">
        <f t="shared" si="5"/>
        <v>0</v>
      </c>
      <c r="T44" s="437">
        <f t="shared" si="5"/>
        <v>0</v>
      </c>
      <c r="U44" s="437">
        <f t="shared" si="5"/>
        <v>0</v>
      </c>
      <c r="V44" s="437">
        <f t="shared" si="5"/>
        <v>0</v>
      </c>
      <c r="W44" s="437">
        <f t="shared" si="5"/>
        <v>0</v>
      </c>
      <c r="X44" s="437">
        <f t="shared" si="5"/>
        <v>0</v>
      </c>
      <c r="Y44" s="437">
        <f t="shared" si="5"/>
        <v>0</v>
      </c>
      <c r="Z44" s="437">
        <f t="shared" si="5"/>
        <v>0</v>
      </c>
      <c r="AA44" s="437">
        <f t="shared" si="5"/>
        <v>0</v>
      </c>
      <c r="AB44" s="437">
        <f t="shared" si="5"/>
        <v>0</v>
      </c>
      <c r="AC44" s="437">
        <f t="shared" si="5"/>
        <v>0</v>
      </c>
      <c r="AD44" s="437">
        <f t="shared" si="5"/>
        <v>0</v>
      </c>
      <c r="AE44" s="437">
        <f t="shared" si="5"/>
        <v>0</v>
      </c>
      <c r="AF44" s="437">
        <f t="shared" si="5"/>
        <v>0</v>
      </c>
      <c r="AG44" s="437">
        <f t="shared" si="5"/>
        <v>0</v>
      </c>
      <c r="AH44" s="437">
        <f t="shared" si="5"/>
        <v>0</v>
      </c>
      <c r="AI44" s="437">
        <f t="shared" si="5"/>
        <v>0</v>
      </c>
      <c r="AJ44" s="437">
        <f t="shared" si="5"/>
        <v>0</v>
      </c>
      <c r="AK44" s="437">
        <f t="shared" si="5"/>
        <v>0</v>
      </c>
      <c r="AL44" s="437">
        <f t="shared" si="5"/>
        <v>0</v>
      </c>
      <c r="AM44" s="437">
        <f t="shared" si="5"/>
        <v>0</v>
      </c>
      <c r="AN44" s="438">
        <f t="shared" si="5"/>
        <v>0</v>
      </c>
    </row>
    <row r="45" spans="1:40" ht="36" customHeight="1" outlineLevel="2">
      <c r="A45" s="185" t="s">
        <v>178</v>
      </c>
      <c r="B45" s="351"/>
      <c r="C45" s="187"/>
      <c r="D45" s="647" t="s">
        <v>242</v>
      </c>
      <c r="E45" s="647"/>
      <c r="F45" s="647"/>
      <c r="G45" s="328">
        <f>'Zał.1_WPF_bazowy'!F45</f>
        <v>0</v>
      </c>
      <c r="H45" s="329">
        <f>'Zał.1_WPF_bazowy'!G45</f>
        <v>0</v>
      </c>
      <c r="I45" s="329">
        <f>'Zał.1_WPF_bazowy'!H45</f>
        <v>0</v>
      </c>
      <c r="J45" s="430">
        <f>'Zał.1_WPF_bazowy'!I45</f>
        <v>0</v>
      </c>
      <c r="K45" s="431">
        <f>+'Zał.1_WPF_bazowy'!J45</f>
        <v>0</v>
      </c>
      <c r="L45" s="432">
        <f>+'Zał.1_WPF_bazowy'!K45</f>
        <v>0</v>
      </c>
      <c r="M45" s="432">
        <f>+'Zał.1_WPF_bazowy'!L45</f>
        <v>0</v>
      </c>
      <c r="N45" s="432">
        <f>+'Zał.1_WPF_bazowy'!M45</f>
        <v>0</v>
      </c>
      <c r="O45" s="432">
        <f>+'Zał.1_WPF_bazowy'!N45</f>
        <v>0</v>
      </c>
      <c r="P45" s="432">
        <f>+'Zał.1_WPF_bazowy'!O45</f>
        <v>0</v>
      </c>
      <c r="Q45" s="432">
        <f>+'Zał.1_WPF_bazowy'!P45</f>
        <v>0</v>
      </c>
      <c r="R45" s="432">
        <f>+'Zał.1_WPF_bazowy'!Q45</f>
        <v>0</v>
      </c>
      <c r="S45" s="432">
        <f>+'Zał.1_WPF_bazowy'!R45</f>
        <v>0</v>
      </c>
      <c r="T45" s="432">
        <f>+'Zał.1_WPF_bazowy'!S45</f>
        <v>0</v>
      </c>
      <c r="U45" s="432">
        <f>+'Zał.1_WPF_bazowy'!T45</f>
        <v>0</v>
      </c>
      <c r="V45" s="432">
        <f>+'Zał.1_WPF_bazowy'!U45</f>
        <v>0</v>
      </c>
      <c r="W45" s="432">
        <f>+'Zał.1_WPF_bazowy'!V45</f>
        <v>0</v>
      </c>
      <c r="X45" s="432">
        <f>+'Zał.1_WPF_bazowy'!W45</f>
        <v>0</v>
      </c>
      <c r="Y45" s="432">
        <f>+'Zał.1_WPF_bazowy'!X45</f>
        <v>0</v>
      </c>
      <c r="Z45" s="432">
        <f>+'Zał.1_WPF_bazowy'!Y45</f>
        <v>0</v>
      </c>
      <c r="AA45" s="432">
        <f>+'Zał.1_WPF_bazowy'!Z45</f>
        <v>0</v>
      </c>
      <c r="AB45" s="432">
        <f>+'Zał.1_WPF_bazowy'!AA45</f>
        <v>0</v>
      </c>
      <c r="AC45" s="432">
        <f>+'Zał.1_WPF_bazowy'!AB45</f>
        <v>0</v>
      </c>
      <c r="AD45" s="432">
        <f>+'Zał.1_WPF_bazowy'!AC45</f>
        <v>0</v>
      </c>
      <c r="AE45" s="432">
        <f>+'Zał.1_WPF_bazowy'!AD45</f>
        <v>0</v>
      </c>
      <c r="AF45" s="432">
        <f>+'Zał.1_WPF_bazowy'!AE45</f>
        <v>0</v>
      </c>
      <c r="AG45" s="432">
        <f>+'Zał.1_WPF_bazowy'!AF45</f>
        <v>0</v>
      </c>
      <c r="AH45" s="432">
        <f>+'Zał.1_WPF_bazowy'!AG45</f>
        <v>0</v>
      </c>
      <c r="AI45" s="432">
        <f>+'Zał.1_WPF_bazowy'!AH45</f>
        <v>0</v>
      </c>
      <c r="AJ45" s="432">
        <f>+'Zał.1_WPF_bazowy'!AI45</f>
        <v>0</v>
      </c>
      <c r="AK45" s="432">
        <f>+'Zał.1_WPF_bazowy'!AJ45</f>
        <v>0</v>
      </c>
      <c r="AL45" s="432">
        <f>+'Zał.1_WPF_bazowy'!AK45</f>
        <v>0</v>
      </c>
      <c r="AM45" s="432">
        <f>+'Zał.1_WPF_bazowy'!AL45</f>
        <v>0</v>
      </c>
      <c r="AN45" s="433">
        <f>+'Zał.1_WPF_bazowy'!AM45</f>
        <v>0</v>
      </c>
    </row>
    <row r="46" spans="1:40" ht="24" customHeight="1" outlineLevel="2">
      <c r="A46" s="185" t="s">
        <v>95</v>
      </c>
      <c r="B46" s="351"/>
      <c r="C46" s="187"/>
      <c r="D46" s="188"/>
      <c r="E46" s="647" t="s">
        <v>243</v>
      </c>
      <c r="F46" s="647"/>
      <c r="G46" s="328">
        <f>'Zał.1_WPF_bazowy'!F46</f>
        <v>0</v>
      </c>
      <c r="H46" s="329">
        <f>'Zał.1_WPF_bazowy'!G46</f>
        <v>0</v>
      </c>
      <c r="I46" s="329">
        <f>'Zał.1_WPF_bazowy'!H46</f>
        <v>0</v>
      </c>
      <c r="J46" s="430">
        <f>'Zał.1_WPF_bazowy'!I46</f>
        <v>0</v>
      </c>
      <c r="K46" s="431">
        <f>+'Zał.1_WPF_bazowy'!J46</f>
        <v>0</v>
      </c>
      <c r="L46" s="432">
        <f>+'Zał.1_WPF_bazowy'!K46</f>
        <v>0</v>
      </c>
      <c r="M46" s="432">
        <f>+'Zał.1_WPF_bazowy'!L46</f>
        <v>0</v>
      </c>
      <c r="N46" s="432">
        <f>+'Zał.1_WPF_bazowy'!M46</f>
        <v>0</v>
      </c>
      <c r="O46" s="432">
        <f>+'Zał.1_WPF_bazowy'!N46</f>
        <v>0</v>
      </c>
      <c r="P46" s="432">
        <f>+'Zał.1_WPF_bazowy'!O46</f>
        <v>0</v>
      </c>
      <c r="Q46" s="432">
        <f>+'Zał.1_WPF_bazowy'!P46</f>
        <v>0</v>
      </c>
      <c r="R46" s="432">
        <f>+'Zał.1_WPF_bazowy'!Q46</f>
        <v>0</v>
      </c>
      <c r="S46" s="432">
        <f>+'Zał.1_WPF_bazowy'!R46</f>
        <v>0</v>
      </c>
      <c r="T46" s="432">
        <f>+'Zał.1_WPF_bazowy'!S46</f>
        <v>0</v>
      </c>
      <c r="U46" s="432">
        <f>+'Zał.1_WPF_bazowy'!T46</f>
        <v>0</v>
      </c>
      <c r="V46" s="432">
        <f>+'Zał.1_WPF_bazowy'!U46</f>
        <v>0</v>
      </c>
      <c r="W46" s="432">
        <f>+'Zał.1_WPF_bazowy'!V46</f>
        <v>0</v>
      </c>
      <c r="X46" s="432">
        <f>+'Zał.1_WPF_bazowy'!W46</f>
        <v>0</v>
      </c>
      <c r="Y46" s="432">
        <f>+'Zał.1_WPF_bazowy'!X46</f>
        <v>0</v>
      </c>
      <c r="Z46" s="432">
        <f>+'Zał.1_WPF_bazowy'!Y46</f>
        <v>0</v>
      </c>
      <c r="AA46" s="432">
        <f>+'Zał.1_WPF_bazowy'!Z46</f>
        <v>0</v>
      </c>
      <c r="AB46" s="432">
        <f>+'Zał.1_WPF_bazowy'!AA46</f>
        <v>0</v>
      </c>
      <c r="AC46" s="432">
        <f>+'Zał.1_WPF_bazowy'!AB46</f>
        <v>0</v>
      </c>
      <c r="AD46" s="432">
        <f>+'Zał.1_WPF_bazowy'!AC46</f>
        <v>0</v>
      </c>
      <c r="AE46" s="432">
        <f>+'Zał.1_WPF_bazowy'!AD46</f>
        <v>0</v>
      </c>
      <c r="AF46" s="432">
        <f>+'Zał.1_WPF_bazowy'!AE46</f>
        <v>0</v>
      </c>
      <c r="AG46" s="432">
        <f>+'Zał.1_WPF_bazowy'!AF46</f>
        <v>0</v>
      </c>
      <c r="AH46" s="432">
        <f>+'Zał.1_WPF_bazowy'!AG46</f>
        <v>0</v>
      </c>
      <c r="AI46" s="432">
        <f>+'Zał.1_WPF_bazowy'!AH46</f>
        <v>0</v>
      </c>
      <c r="AJ46" s="432">
        <f>+'Zał.1_WPF_bazowy'!AI46</f>
        <v>0</v>
      </c>
      <c r="AK46" s="432">
        <f>+'Zał.1_WPF_bazowy'!AJ46</f>
        <v>0</v>
      </c>
      <c r="AL46" s="432">
        <f>+'Zał.1_WPF_bazowy'!AK46</f>
        <v>0</v>
      </c>
      <c r="AM46" s="432">
        <f>+'Zał.1_WPF_bazowy'!AL46</f>
        <v>0</v>
      </c>
      <c r="AN46" s="433">
        <f>+'Zał.1_WPF_bazowy'!AM46</f>
        <v>0</v>
      </c>
    </row>
    <row r="47" spans="1:40" ht="24" customHeight="1" outlineLevel="2">
      <c r="A47" s="185" t="s">
        <v>179</v>
      </c>
      <c r="B47" s="351" t="s">
        <v>433</v>
      </c>
      <c r="C47" s="187"/>
      <c r="D47" s="647" t="s">
        <v>244</v>
      </c>
      <c r="E47" s="647"/>
      <c r="F47" s="647"/>
      <c r="G47" s="332">
        <f>'Zał.1_WPF_bazowy'!F47</f>
        <v>0.3527</v>
      </c>
      <c r="H47" s="333">
        <f>'Zał.1_WPF_bazowy'!G47</f>
        <v>0.3621</v>
      </c>
      <c r="I47" s="333">
        <f>'Zał.1_WPF_bazowy'!H47</f>
        <v>0.3482</v>
      </c>
      <c r="J47" s="235">
        <f>+IF(J10&lt;&gt;0,J44/J10,"-")</f>
        <v>0.2784440309818847</v>
      </c>
      <c r="K47" s="233">
        <f>+IF(K10&lt;&gt;0,K44/K10,"-")</f>
        <v>0.26692768220194707</v>
      </c>
      <c r="L47" s="234">
        <f aca="true" t="shared" si="6" ref="L47:AN47">+IF(L10&lt;&gt;0,L44/L10,"-")</f>
        <v>0.2573697012460367</v>
      </c>
      <c r="M47" s="234">
        <f t="shared" si="6"/>
        <v>0.2117225819423539</v>
      </c>
      <c r="N47" s="234">
        <f t="shared" si="6"/>
        <v>0.15823622462508347</v>
      </c>
      <c r="O47" s="234">
        <f t="shared" si="6"/>
        <v>0.10268113327543109</v>
      </c>
      <c r="P47" s="234">
        <f t="shared" si="6"/>
        <v>0.05202786476760322</v>
      </c>
      <c r="Q47" s="234">
        <f t="shared" si="6"/>
        <v>0.009998844469848842</v>
      </c>
      <c r="R47" s="234">
        <f t="shared" si="6"/>
        <v>-1.1225870536224914E-18</v>
      </c>
      <c r="S47" s="234" t="str">
        <f t="shared" si="6"/>
        <v>-</v>
      </c>
      <c r="T47" s="234" t="str">
        <f t="shared" si="6"/>
        <v>-</v>
      </c>
      <c r="U47" s="234" t="str">
        <f t="shared" si="6"/>
        <v>-</v>
      </c>
      <c r="V47" s="234" t="str">
        <f t="shared" si="6"/>
        <v>-</v>
      </c>
      <c r="W47" s="234" t="str">
        <f t="shared" si="6"/>
        <v>-</v>
      </c>
      <c r="X47" s="234" t="str">
        <f t="shared" si="6"/>
        <v>-</v>
      </c>
      <c r="Y47" s="234" t="str">
        <f t="shared" si="6"/>
        <v>-</v>
      </c>
      <c r="Z47" s="234" t="str">
        <f t="shared" si="6"/>
        <v>-</v>
      </c>
      <c r="AA47" s="234" t="str">
        <f t="shared" si="6"/>
        <v>-</v>
      </c>
      <c r="AB47" s="234" t="str">
        <f t="shared" si="6"/>
        <v>-</v>
      </c>
      <c r="AC47" s="234" t="str">
        <f t="shared" si="6"/>
        <v>-</v>
      </c>
      <c r="AD47" s="234" t="str">
        <f t="shared" si="6"/>
        <v>-</v>
      </c>
      <c r="AE47" s="234" t="str">
        <f t="shared" si="6"/>
        <v>-</v>
      </c>
      <c r="AF47" s="234" t="str">
        <f t="shared" si="6"/>
        <v>-</v>
      </c>
      <c r="AG47" s="234" t="str">
        <f t="shared" si="6"/>
        <v>-</v>
      </c>
      <c r="AH47" s="234" t="str">
        <f t="shared" si="6"/>
        <v>-</v>
      </c>
      <c r="AI47" s="234" t="str">
        <f t="shared" si="6"/>
        <v>-</v>
      </c>
      <c r="AJ47" s="234" t="str">
        <f t="shared" si="6"/>
        <v>-</v>
      </c>
      <c r="AK47" s="234" t="str">
        <f t="shared" si="6"/>
        <v>-</v>
      </c>
      <c r="AL47" s="234" t="str">
        <f t="shared" si="6"/>
        <v>-</v>
      </c>
      <c r="AM47" s="234" t="str">
        <f t="shared" si="6"/>
        <v>-</v>
      </c>
      <c r="AN47" s="235" t="str">
        <f t="shared" si="6"/>
        <v>-</v>
      </c>
    </row>
    <row r="48" spans="1:40" ht="24" customHeight="1" outlineLevel="2">
      <c r="A48" s="185" t="s">
        <v>180</v>
      </c>
      <c r="B48" s="351" t="s">
        <v>434</v>
      </c>
      <c r="C48" s="187"/>
      <c r="D48" s="647" t="s">
        <v>245</v>
      </c>
      <c r="E48" s="647"/>
      <c r="F48" s="647"/>
      <c r="G48" s="332">
        <f>'Zał.1_WPF_bazowy'!F48</f>
        <v>0.3527</v>
      </c>
      <c r="H48" s="333">
        <f>'Zał.1_WPF_bazowy'!G48</f>
        <v>0.3621</v>
      </c>
      <c r="I48" s="333">
        <f>'Zał.1_WPF_bazowy'!H48</f>
        <v>0.3482</v>
      </c>
      <c r="J48" s="235">
        <f>+IF(J10&lt;&gt;0,(J44-J45)/J10,"-")</f>
        <v>0.2784440309818847</v>
      </c>
      <c r="K48" s="233">
        <f>+IF(K10&lt;&gt;0,(K44-K45)/K10,"-")</f>
        <v>0.26692768220194707</v>
      </c>
      <c r="L48" s="234">
        <f aca="true" t="shared" si="7" ref="L48:AN48">+IF(L10&lt;&gt;0,(L44-L45)/L10,"-")</f>
        <v>0.2573697012460367</v>
      </c>
      <c r="M48" s="234">
        <f t="shared" si="7"/>
        <v>0.2117225819423539</v>
      </c>
      <c r="N48" s="234">
        <f t="shared" si="7"/>
        <v>0.15823622462508347</v>
      </c>
      <c r="O48" s="234">
        <f t="shared" si="7"/>
        <v>0.10268113327543109</v>
      </c>
      <c r="P48" s="234">
        <f t="shared" si="7"/>
        <v>0.05202786476760322</v>
      </c>
      <c r="Q48" s="234">
        <f t="shared" si="7"/>
        <v>0.009998844469848842</v>
      </c>
      <c r="R48" s="234">
        <f t="shared" si="7"/>
        <v>-1.1225870536224914E-18</v>
      </c>
      <c r="S48" s="234" t="str">
        <f t="shared" si="7"/>
        <v>-</v>
      </c>
      <c r="T48" s="234" t="str">
        <f t="shared" si="7"/>
        <v>-</v>
      </c>
      <c r="U48" s="234" t="str">
        <f t="shared" si="7"/>
        <v>-</v>
      </c>
      <c r="V48" s="234" t="str">
        <f t="shared" si="7"/>
        <v>-</v>
      </c>
      <c r="W48" s="234" t="str">
        <f t="shared" si="7"/>
        <v>-</v>
      </c>
      <c r="X48" s="234" t="str">
        <f t="shared" si="7"/>
        <v>-</v>
      </c>
      <c r="Y48" s="234" t="str">
        <f t="shared" si="7"/>
        <v>-</v>
      </c>
      <c r="Z48" s="234" t="str">
        <f t="shared" si="7"/>
        <v>-</v>
      </c>
      <c r="AA48" s="234" t="str">
        <f t="shared" si="7"/>
        <v>-</v>
      </c>
      <c r="AB48" s="234" t="str">
        <f t="shared" si="7"/>
        <v>-</v>
      </c>
      <c r="AC48" s="234" t="str">
        <f t="shared" si="7"/>
        <v>-</v>
      </c>
      <c r="AD48" s="234" t="str">
        <f t="shared" si="7"/>
        <v>-</v>
      </c>
      <c r="AE48" s="234" t="str">
        <f t="shared" si="7"/>
        <v>-</v>
      </c>
      <c r="AF48" s="234" t="str">
        <f t="shared" si="7"/>
        <v>-</v>
      </c>
      <c r="AG48" s="234" t="str">
        <f t="shared" si="7"/>
        <v>-</v>
      </c>
      <c r="AH48" s="234" t="str">
        <f t="shared" si="7"/>
        <v>-</v>
      </c>
      <c r="AI48" s="234" t="str">
        <f t="shared" si="7"/>
        <v>-</v>
      </c>
      <c r="AJ48" s="234" t="str">
        <f t="shared" si="7"/>
        <v>-</v>
      </c>
      <c r="AK48" s="234" t="str">
        <f t="shared" si="7"/>
        <v>-</v>
      </c>
      <c r="AL48" s="234" t="str">
        <f t="shared" si="7"/>
        <v>-</v>
      </c>
      <c r="AM48" s="234" t="str">
        <f t="shared" si="7"/>
        <v>-</v>
      </c>
      <c r="AN48" s="235" t="str">
        <f t="shared" si="7"/>
        <v>-</v>
      </c>
    </row>
    <row r="49" spans="1:40" s="184" customFormat="1" ht="48" customHeight="1" outlineLevel="1">
      <c r="A49" s="183">
        <v>7</v>
      </c>
      <c r="B49" s="350"/>
      <c r="C49" s="648" t="s">
        <v>297</v>
      </c>
      <c r="D49" s="649"/>
      <c r="E49" s="649"/>
      <c r="F49" s="649"/>
      <c r="G49" s="326">
        <f>'Zał.1_WPF_bazowy'!F49</f>
        <v>0</v>
      </c>
      <c r="H49" s="327">
        <f>'Zał.1_WPF_bazowy'!G49</f>
        <v>0</v>
      </c>
      <c r="I49" s="327">
        <f>'Zał.1_WPF_bazowy'!H49</f>
        <v>0</v>
      </c>
      <c r="J49" s="435">
        <f>'Zał.1_WPF_bazowy'!I49</f>
        <v>0</v>
      </c>
      <c r="K49" s="439">
        <f>+'Zał.1_WPF_bazowy'!J49</f>
        <v>0</v>
      </c>
      <c r="L49" s="440">
        <f>+'Zał.1_WPF_bazowy'!K49</f>
        <v>0</v>
      </c>
      <c r="M49" s="440">
        <f>+'Zał.1_WPF_bazowy'!L49</f>
        <v>0</v>
      </c>
      <c r="N49" s="440">
        <f>+'Zał.1_WPF_bazowy'!M49</f>
        <v>0</v>
      </c>
      <c r="O49" s="440">
        <f>+'Zał.1_WPF_bazowy'!N49</f>
        <v>0</v>
      </c>
      <c r="P49" s="440">
        <f>+'Zał.1_WPF_bazowy'!O49</f>
        <v>0</v>
      </c>
      <c r="Q49" s="440">
        <f>+'Zał.1_WPF_bazowy'!P49</f>
        <v>0</v>
      </c>
      <c r="R49" s="440">
        <f>+'Zał.1_WPF_bazowy'!Q49</f>
        <v>0</v>
      </c>
      <c r="S49" s="440">
        <f>+'Zał.1_WPF_bazowy'!R49</f>
        <v>0</v>
      </c>
      <c r="T49" s="440">
        <f>+'Zał.1_WPF_bazowy'!S49</f>
        <v>0</v>
      </c>
      <c r="U49" s="440">
        <f>+'Zał.1_WPF_bazowy'!T49</f>
        <v>0</v>
      </c>
      <c r="V49" s="440">
        <f>+'Zał.1_WPF_bazowy'!U49</f>
        <v>0</v>
      </c>
      <c r="W49" s="440">
        <f>+'Zał.1_WPF_bazowy'!V49</f>
        <v>0</v>
      </c>
      <c r="X49" s="440">
        <f>+'Zał.1_WPF_bazowy'!W49</f>
        <v>0</v>
      </c>
      <c r="Y49" s="440">
        <f>+'Zał.1_WPF_bazowy'!X49</f>
        <v>0</v>
      </c>
      <c r="Z49" s="440">
        <f>+'Zał.1_WPF_bazowy'!Y49</f>
        <v>0</v>
      </c>
      <c r="AA49" s="440">
        <f>+'Zał.1_WPF_bazowy'!Z49</f>
        <v>0</v>
      </c>
      <c r="AB49" s="440">
        <f>+'Zał.1_WPF_bazowy'!AA49</f>
        <v>0</v>
      </c>
      <c r="AC49" s="440">
        <f>+'Zał.1_WPF_bazowy'!AB49</f>
        <v>0</v>
      </c>
      <c r="AD49" s="440">
        <f>+'Zał.1_WPF_bazowy'!AC49</f>
        <v>0</v>
      </c>
      <c r="AE49" s="440">
        <f>+'Zał.1_WPF_bazowy'!AD49</f>
        <v>0</v>
      </c>
      <c r="AF49" s="440">
        <f>+'Zał.1_WPF_bazowy'!AE49</f>
        <v>0</v>
      </c>
      <c r="AG49" s="440">
        <f>+'Zał.1_WPF_bazowy'!AF49</f>
        <v>0</v>
      </c>
      <c r="AH49" s="440">
        <f>+'Zał.1_WPF_bazowy'!AG49</f>
        <v>0</v>
      </c>
      <c r="AI49" s="440">
        <f>+'Zał.1_WPF_bazowy'!AH49</f>
        <v>0</v>
      </c>
      <c r="AJ49" s="440">
        <f>+'Zał.1_WPF_bazowy'!AI49</f>
        <v>0</v>
      </c>
      <c r="AK49" s="440">
        <f>+'Zał.1_WPF_bazowy'!AJ49</f>
        <v>0</v>
      </c>
      <c r="AL49" s="440">
        <f>+'Zał.1_WPF_bazowy'!AK49</f>
        <v>0</v>
      </c>
      <c r="AM49" s="440">
        <f>+'Zał.1_WPF_bazowy'!AL49</f>
        <v>0</v>
      </c>
      <c r="AN49" s="441">
        <f>+'Zał.1_WPF_bazowy'!AM49</f>
        <v>0</v>
      </c>
    </row>
    <row r="50" spans="1:40" s="184" customFormat="1" ht="24" customHeight="1" outlineLevel="1">
      <c r="A50" s="183">
        <v>8</v>
      </c>
      <c r="B50" s="350"/>
      <c r="C50" s="648" t="s">
        <v>181</v>
      </c>
      <c r="D50" s="649"/>
      <c r="E50" s="649"/>
      <c r="F50" s="649"/>
      <c r="G50" s="334" t="s">
        <v>31</v>
      </c>
      <c r="H50" s="335" t="s">
        <v>31</v>
      </c>
      <c r="I50" s="335" t="s">
        <v>31</v>
      </c>
      <c r="J50" s="442" t="s">
        <v>31</v>
      </c>
      <c r="K50" s="443" t="s">
        <v>31</v>
      </c>
      <c r="L50" s="444" t="s">
        <v>31</v>
      </c>
      <c r="M50" s="444" t="s">
        <v>31</v>
      </c>
      <c r="N50" s="444" t="s">
        <v>31</v>
      </c>
      <c r="O50" s="444" t="s">
        <v>31</v>
      </c>
      <c r="P50" s="444" t="s">
        <v>31</v>
      </c>
      <c r="Q50" s="444" t="s">
        <v>31</v>
      </c>
      <c r="R50" s="444" t="s">
        <v>31</v>
      </c>
      <c r="S50" s="444" t="s">
        <v>31</v>
      </c>
      <c r="T50" s="444" t="s">
        <v>31</v>
      </c>
      <c r="U50" s="444" t="s">
        <v>31</v>
      </c>
      <c r="V50" s="444" t="s">
        <v>31</v>
      </c>
      <c r="W50" s="444" t="s">
        <v>31</v>
      </c>
      <c r="X50" s="444" t="s">
        <v>31</v>
      </c>
      <c r="Y50" s="444" t="s">
        <v>31</v>
      </c>
      <c r="Z50" s="444" t="s">
        <v>31</v>
      </c>
      <c r="AA50" s="444" t="s">
        <v>31</v>
      </c>
      <c r="AB50" s="444" t="s">
        <v>31</v>
      </c>
      <c r="AC50" s="444" t="s">
        <v>31</v>
      </c>
      <c r="AD50" s="444" t="s">
        <v>31</v>
      </c>
      <c r="AE50" s="444" t="s">
        <v>31</v>
      </c>
      <c r="AF50" s="444" t="s">
        <v>31</v>
      </c>
      <c r="AG50" s="444" t="s">
        <v>31</v>
      </c>
      <c r="AH50" s="444" t="s">
        <v>31</v>
      </c>
      <c r="AI50" s="444" t="s">
        <v>31</v>
      </c>
      <c r="AJ50" s="444" t="s">
        <v>31</v>
      </c>
      <c r="AK50" s="444" t="s">
        <v>31</v>
      </c>
      <c r="AL50" s="444" t="s">
        <v>31</v>
      </c>
      <c r="AM50" s="444" t="s">
        <v>31</v>
      </c>
      <c r="AN50" s="445" t="s">
        <v>31</v>
      </c>
    </row>
    <row r="51" spans="1:40" ht="14.25" outlineLevel="2">
      <c r="A51" s="185" t="s">
        <v>182</v>
      </c>
      <c r="B51" s="351" t="s">
        <v>435</v>
      </c>
      <c r="C51" s="187"/>
      <c r="D51" s="647" t="s">
        <v>296</v>
      </c>
      <c r="E51" s="647"/>
      <c r="F51" s="647"/>
      <c r="G51" s="328">
        <f>'Zał.1_WPF_bazowy'!F51</f>
        <v>1036282.82</v>
      </c>
      <c r="H51" s="329">
        <f>'Zał.1_WPF_bazowy'!G51</f>
        <v>1598338.12</v>
      </c>
      <c r="I51" s="329">
        <f>'Zał.1_WPF_bazowy'!H51</f>
        <v>70251</v>
      </c>
      <c r="J51" s="238">
        <f>+J11-J22</f>
        <v>1837399.210000001</v>
      </c>
      <c r="K51" s="236">
        <f>+K11-K22</f>
        <v>957179</v>
      </c>
      <c r="L51" s="237">
        <f aca="true" t="shared" si="8" ref="L51:AN51">+L11-L22</f>
        <v>1537298.3000000007</v>
      </c>
      <c r="M51" s="237">
        <f t="shared" si="8"/>
        <v>2075515.259999998</v>
      </c>
      <c r="N51" s="237">
        <f t="shared" si="8"/>
        <v>2168724.1099999994</v>
      </c>
      <c r="O51" s="237">
        <f t="shared" si="8"/>
        <v>2274026.25</v>
      </c>
      <c r="P51" s="237">
        <f t="shared" si="8"/>
        <v>2381472.8599999994</v>
      </c>
      <c r="Q51" s="237">
        <f t="shared" si="8"/>
        <v>2541115.870000001</v>
      </c>
      <c r="R51" s="237">
        <f t="shared" si="8"/>
        <v>2633007.969999999</v>
      </c>
      <c r="S51" s="237">
        <f t="shared" si="8"/>
        <v>0</v>
      </c>
      <c r="T51" s="237">
        <f t="shared" si="8"/>
        <v>0</v>
      </c>
      <c r="U51" s="237">
        <f t="shared" si="8"/>
        <v>0</v>
      </c>
      <c r="V51" s="237">
        <f t="shared" si="8"/>
        <v>0</v>
      </c>
      <c r="W51" s="237">
        <f t="shared" si="8"/>
        <v>0</v>
      </c>
      <c r="X51" s="237">
        <f t="shared" si="8"/>
        <v>0</v>
      </c>
      <c r="Y51" s="237">
        <f t="shared" si="8"/>
        <v>0</v>
      </c>
      <c r="Z51" s="237">
        <f t="shared" si="8"/>
        <v>0</v>
      </c>
      <c r="AA51" s="237">
        <f t="shared" si="8"/>
        <v>0</v>
      </c>
      <c r="AB51" s="237">
        <f t="shared" si="8"/>
        <v>0</v>
      </c>
      <c r="AC51" s="237">
        <f t="shared" si="8"/>
        <v>0</v>
      </c>
      <c r="AD51" s="237">
        <f t="shared" si="8"/>
        <v>0</v>
      </c>
      <c r="AE51" s="237">
        <f t="shared" si="8"/>
        <v>0</v>
      </c>
      <c r="AF51" s="237">
        <f t="shared" si="8"/>
        <v>0</v>
      </c>
      <c r="AG51" s="237">
        <f t="shared" si="8"/>
        <v>0</v>
      </c>
      <c r="AH51" s="237">
        <f t="shared" si="8"/>
        <v>0</v>
      </c>
      <c r="AI51" s="237">
        <f t="shared" si="8"/>
        <v>0</v>
      </c>
      <c r="AJ51" s="237">
        <f t="shared" si="8"/>
        <v>0</v>
      </c>
      <c r="AK51" s="237">
        <f t="shared" si="8"/>
        <v>0</v>
      </c>
      <c r="AL51" s="237">
        <f t="shared" si="8"/>
        <v>0</v>
      </c>
      <c r="AM51" s="237">
        <f t="shared" si="8"/>
        <v>0</v>
      </c>
      <c r="AN51" s="238">
        <f t="shared" si="8"/>
        <v>0</v>
      </c>
    </row>
    <row r="52" spans="1:40" ht="36" customHeight="1" outlineLevel="2">
      <c r="A52" s="185" t="s">
        <v>183</v>
      </c>
      <c r="B52" s="351" t="s">
        <v>468</v>
      </c>
      <c r="C52" s="187"/>
      <c r="D52" s="647" t="s">
        <v>247</v>
      </c>
      <c r="E52" s="647"/>
      <c r="F52" s="647"/>
      <c r="G52" s="328">
        <f>'Zał.1_WPF_bazowy'!F52</f>
        <v>1703058.84</v>
      </c>
      <c r="H52" s="329">
        <f>'Zał.1_WPF_bazowy'!G52</f>
        <v>1900411.68</v>
      </c>
      <c r="I52" s="329">
        <f>'Zał.1_WPF_bazowy'!H52</f>
        <v>870251</v>
      </c>
      <c r="J52" s="238">
        <f>+J11+J31+J33-J22</f>
        <v>2766913.1500000022</v>
      </c>
      <c r="K52" s="236">
        <f>+K11+K31+K33-(K22-K25)</f>
        <v>2069179</v>
      </c>
      <c r="L52" s="237">
        <f>+L11+L31+L33-(L22-L25)</f>
        <v>1537298.3000000007</v>
      </c>
      <c r="M52" s="237">
        <f>+M11+M31+M33-(M22-M25)</f>
        <v>2075515.259999998</v>
      </c>
      <c r="N52" s="237">
        <f>+N11+N31+N33-N22</f>
        <v>2168724.1099999994</v>
      </c>
      <c r="O52" s="237">
        <f aca="true" t="shared" si="9" ref="O52:AN52">+O11+O31+O33-O22</f>
        <v>2274026.25</v>
      </c>
      <c r="P52" s="237">
        <f t="shared" si="9"/>
        <v>2381472.8599999994</v>
      </c>
      <c r="Q52" s="237">
        <f t="shared" si="9"/>
        <v>2541115.870000001</v>
      </c>
      <c r="R52" s="237">
        <f t="shared" si="9"/>
        <v>2633007.969999999</v>
      </c>
      <c r="S52" s="237">
        <f t="shared" si="9"/>
        <v>0</v>
      </c>
      <c r="T52" s="237">
        <f t="shared" si="9"/>
        <v>0</v>
      </c>
      <c r="U52" s="237">
        <f t="shared" si="9"/>
        <v>0</v>
      </c>
      <c r="V52" s="237">
        <f t="shared" si="9"/>
        <v>0</v>
      </c>
      <c r="W52" s="237">
        <f t="shared" si="9"/>
        <v>0</v>
      </c>
      <c r="X52" s="237">
        <f t="shared" si="9"/>
        <v>0</v>
      </c>
      <c r="Y52" s="237">
        <f t="shared" si="9"/>
        <v>0</v>
      </c>
      <c r="Z52" s="237">
        <f t="shared" si="9"/>
        <v>0</v>
      </c>
      <c r="AA52" s="237">
        <f t="shared" si="9"/>
        <v>0</v>
      </c>
      <c r="AB52" s="237">
        <f t="shared" si="9"/>
        <v>0</v>
      </c>
      <c r="AC52" s="237">
        <f t="shared" si="9"/>
        <v>0</v>
      </c>
      <c r="AD52" s="237">
        <f t="shared" si="9"/>
        <v>0</v>
      </c>
      <c r="AE52" s="237">
        <f t="shared" si="9"/>
        <v>0</v>
      </c>
      <c r="AF52" s="237">
        <f t="shared" si="9"/>
        <v>0</v>
      </c>
      <c r="AG52" s="237">
        <f t="shared" si="9"/>
        <v>0</v>
      </c>
      <c r="AH52" s="237">
        <f t="shared" si="9"/>
        <v>0</v>
      </c>
      <c r="AI52" s="237">
        <f t="shared" si="9"/>
        <v>0</v>
      </c>
      <c r="AJ52" s="237">
        <f t="shared" si="9"/>
        <v>0</v>
      </c>
      <c r="AK52" s="237">
        <f t="shared" si="9"/>
        <v>0</v>
      </c>
      <c r="AL52" s="237">
        <f t="shared" si="9"/>
        <v>0</v>
      </c>
      <c r="AM52" s="237">
        <f t="shared" si="9"/>
        <v>0</v>
      </c>
      <c r="AN52" s="238">
        <f t="shared" si="9"/>
        <v>0</v>
      </c>
    </row>
    <row r="53" spans="1:40" s="184" customFormat="1" ht="15" outlineLevel="1">
      <c r="A53" s="183">
        <v>9</v>
      </c>
      <c r="B53" s="350"/>
      <c r="C53" s="648" t="s">
        <v>184</v>
      </c>
      <c r="D53" s="649"/>
      <c r="E53" s="649"/>
      <c r="F53" s="649"/>
      <c r="G53" s="334" t="s">
        <v>31</v>
      </c>
      <c r="H53" s="335" t="s">
        <v>31</v>
      </c>
      <c r="I53" s="335" t="s">
        <v>31</v>
      </c>
      <c r="J53" s="442" t="s">
        <v>31</v>
      </c>
      <c r="K53" s="443" t="s">
        <v>31</v>
      </c>
      <c r="L53" s="444" t="s">
        <v>31</v>
      </c>
      <c r="M53" s="444" t="s">
        <v>31</v>
      </c>
      <c r="N53" s="444" t="s">
        <v>31</v>
      </c>
      <c r="O53" s="444" t="s">
        <v>31</v>
      </c>
      <c r="P53" s="444" t="s">
        <v>31</v>
      </c>
      <c r="Q53" s="444" t="s">
        <v>31</v>
      </c>
      <c r="R53" s="444" t="s">
        <v>31</v>
      </c>
      <c r="S53" s="444" t="s">
        <v>31</v>
      </c>
      <c r="T53" s="444" t="s">
        <v>31</v>
      </c>
      <c r="U53" s="444" t="s">
        <v>31</v>
      </c>
      <c r="V53" s="444" t="s">
        <v>31</v>
      </c>
      <c r="W53" s="444" t="s">
        <v>31</v>
      </c>
      <c r="X53" s="444" t="s">
        <v>31</v>
      </c>
      <c r="Y53" s="444" t="s">
        <v>31</v>
      </c>
      <c r="Z53" s="444" t="s">
        <v>31</v>
      </c>
      <c r="AA53" s="444" t="s">
        <v>31</v>
      </c>
      <c r="AB53" s="444" t="s">
        <v>31</v>
      </c>
      <c r="AC53" s="444" t="s">
        <v>31</v>
      </c>
      <c r="AD53" s="444" t="s">
        <v>31</v>
      </c>
      <c r="AE53" s="444" t="s">
        <v>31</v>
      </c>
      <c r="AF53" s="444" t="s">
        <v>31</v>
      </c>
      <c r="AG53" s="444" t="s">
        <v>31</v>
      </c>
      <c r="AH53" s="444" t="s">
        <v>31</v>
      </c>
      <c r="AI53" s="444" t="s">
        <v>31</v>
      </c>
      <c r="AJ53" s="444" t="s">
        <v>31</v>
      </c>
      <c r="AK53" s="444" t="s">
        <v>31</v>
      </c>
      <c r="AL53" s="444" t="s">
        <v>31</v>
      </c>
      <c r="AM53" s="444" t="s">
        <v>31</v>
      </c>
      <c r="AN53" s="445" t="s">
        <v>31</v>
      </c>
    </row>
    <row r="54" spans="1:40" ht="36" customHeight="1" outlineLevel="2">
      <c r="A54" s="185" t="s">
        <v>185</v>
      </c>
      <c r="B54" s="351" t="s">
        <v>436</v>
      </c>
      <c r="C54" s="187"/>
      <c r="D54" s="647" t="s">
        <v>246</v>
      </c>
      <c r="E54" s="647"/>
      <c r="F54" s="647"/>
      <c r="G54" s="332">
        <f>'Zał.1_WPF_bazowy'!F54</f>
        <v>0.0727</v>
      </c>
      <c r="H54" s="333">
        <f>'Zał.1_WPF_bazowy'!G54</f>
        <v>0.0904</v>
      </c>
      <c r="I54" s="333">
        <f>'Zał.1_WPF_bazowy'!H54</f>
        <v>0.0754</v>
      </c>
      <c r="J54" s="235">
        <f>+IF(J10&lt;&gt;0,(J23+J27+J40)/J10,"-")</f>
        <v>0.07289824823461416</v>
      </c>
      <c r="K54" s="233">
        <f>+IF(K10&lt;&gt;0,(K23+K27+K40)/K10,"-")</f>
        <v>0.0730312980694737</v>
      </c>
      <c r="L54" s="234">
        <f aca="true" t="shared" si="10" ref="L54:AN54">+IF(L10&lt;&gt;0,(L23+L27+L40)/L10,"-")</f>
        <v>0.049763510617840304</v>
      </c>
      <c r="M54" s="234">
        <f t="shared" si="10"/>
        <v>0.05166429776293961</v>
      </c>
      <c r="N54" s="234">
        <f t="shared" si="10"/>
        <v>0.0592810301011309</v>
      </c>
      <c r="O54" s="234">
        <f t="shared" si="10"/>
        <v>0.06013555459933678</v>
      </c>
      <c r="P54" s="234">
        <f t="shared" si="10"/>
        <v>0.055543223706825115</v>
      </c>
      <c r="Q54" s="234">
        <f t="shared" si="10"/>
        <v>0.04528599023380609</v>
      </c>
      <c r="R54" s="234">
        <f t="shared" si="10"/>
        <v>0.014252142616484043</v>
      </c>
      <c r="S54" s="234" t="str">
        <f t="shared" si="10"/>
        <v>-</v>
      </c>
      <c r="T54" s="234" t="str">
        <f t="shared" si="10"/>
        <v>-</v>
      </c>
      <c r="U54" s="234" t="str">
        <f t="shared" si="10"/>
        <v>-</v>
      </c>
      <c r="V54" s="234" t="str">
        <f t="shared" si="10"/>
        <v>-</v>
      </c>
      <c r="W54" s="234" t="str">
        <f t="shared" si="10"/>
        <v>-</v>
      </c>
      <c r="X54" s="234" t="str">
        <f t="shared" si="10"/>
        <v>-</v>
      </c>
      <c r="Y54" s="234" t="str">
        <f t="shared" si="10"/>
        <v>-</v>
      </c>
      <c r="Z54" s="234" t="str">
        <f t="shared" si="10"/>
        <v>-</v>
      </c>
      <c r="AA54" s="234" t="str">
        <f t="shared" si="10"/>
        <v>-</v>
      </c>
      <c r="AB54" s="234" t="str">
        <f t="shared" si="10"/>
        <v>-</v>
      </c>
      <c r="AC54" s="234" t="str">
        <f t="shared" si="10"/>
        <v>-</v>
      </c>
      <c r="AD54" s="234" t="str">
        <f t="shared" si="10"/>
        <v>-</v>
      </c>
      <c r="AE54" s="234" t="str">
        <f t="shared" si="10"/>
        <v>-</v>
      </c>
      <c r="AF54" s="234" t="str">
        <f t="shared" si="10"/>
        <v>-</v>
      </c>
      <c r="AG54" s="234" t="str">
        <f t="shared" si="10"/>
        <v>-</v>
      </c>
      <c r="AH54" s="234" t="str">
        <f t="shared" si="10"/>
        <v>-</v>
      </c>
      <c r="AI54" s="234" t="str">
        <f t="shared" si="10"/>
        <v>-</v>
      </c>
      <c r="AJ54" s="234" t="str">
        <f t="shared" si="10"/>
        <v>-</v>
      </c>
      <c r="AK54" s="234" t="str">
        <f t="shared" si="10"/>
        <v>-</v>
      </c>
      <c r="AL54" s="234" t="str">
        <f t="shared" si="10"/>
        <v>-</v>
      </c>
      <c r="AM54" s="234" t="str">
        <f t="shared" si="10"/>
        <v>-</v>
      </c>
      <c r="AN54" s="235" t="str">
        <f t="shared" si="10"/>
        <v>-</v>
      </c>
    </row>
    <row r="55" spans="1:40" ht="36" customHeight="1" outlineLevel="2">
      <c r="A55" s="185" t="s">
        <v>186</v>
      </c>
      <c r="B55" s="351" t="s">
        <v>437</v>
      </c>
      <c r="C55" s="187"/>
      <c r="D55" s="647" t="s">
        <v>248</v>
      </c>
      <c r="E55" s="647"/>
      <c r="F55" s="647"/>
      <c r="G55" s="332">
        <f>'Zał.1_WPF_bazowy'!F55</f>
        <v>0.0727</v>
      </c>
      <c r="H55" s="333">
        <f>'Zał.1_WPF_bazowy'!G55</f>
        <v>0.0904</v>
      </c>
      <c r="I55" s="333">
        <f>'Zał.1_WPF_bazowy'!H55</f>
        <v>0.0754</v>
      </c>
      <c r="J55" s="235">
        <f>+IF(J10&lt;&gt;0,(J23+J27+J40-J41)/J10,"-")</f>
        <v>0.07289824823461416</v>
      </c>
      <c r="K55" s="233">
        <f>+IF(K10&lt;&gt;0,(K23+K27+K40-K41)/K10,"-")</f>
        <v>0.0730312980694737</v>
      </c>
      <c r="L55" s="234">
        <f aca="true" t="shared" si="11" ref="L55:AN55">+IF(L10&lt;&gt;0,(L23+L27+L40-L41)/L10,"-")</f>
        <v>0.049763510617840304</v>
      </c>
      <c r="M55" s="234">
        <f t="shared" si="11"/>
        <v>0.05166429776293961</v>
      </c>
      <c r="N55" s="234">
        <f t="shared" si="11"/>
        <v>0.0592810301011309</v>
      </c>
      <c r="O55" s="234">
        <f t="shared" si="11"/>
        <v>0.06013555459933678</v>
      </c>
      <c r="P55" s="234">
        <f t="shared" si="11"/>
        <v>0.055543223706825115</v>
      </c>
      <c r="Q55" s="234">
        <f t="shared" si="11"/>
        <v>0.04528599023380609</v>
      </c>
      <c r="R55" s="234">
        <f t="shared" si="11"/>
        <v>0.014252142616484043</v>
      </c>
      <c r="S55" s="234" t="str">
        <f t="shared" si="11"/>
        <v>-</v>
      </c>
      <c r="T55" s="234" t="str">
        <f t="shared" si="11"/>
        <v>-</v>
      </c>
      <c r="U55" s="234" t="str">
        <f t="shared" si="11"/>
        <v>-</v>
      </c>
      <c r="V55" s="234" t="str">
        <f t="shared" si="11"/>
        <v>-</v>
      </c>
      <c r="W55" s="234" t="str">
        <f t="shared" si="11"/>
        <v>-</v>
      </c>
      <c r="X55" s="234" t="str">
        <f t="shared" si="11"/>
        <v>-</v>
      </c>
      <c r="Y55" s="234" t="str">
        <f t="shared" si="11"/>
        <v>-</v>
      </c>
      <c r="Z55" s="234" t="str">
        <f t="shared" si="11"/>
        <v>-</v>
      </c>
      <c r="AA55" s="234" t="str">
        <f t="shared" si="11"/>
        <v>-</v>
      </c>
      <c r="AB55" s="234" t="str">
        <f t="shared" si="11"/>
        <v>-</v>
      </c>
      <c r="AC55" s="234" t="str">
        <f t="shared" si="11"/>
        <v>-</v>
      </c>
      <c r="AD55" s="234" t="str">
        <f t="shared" si="11"/>
        <v>-</v>
      </c>
      <c r="AE55" s="234" t="str">
        <f t="shared" si="11"/>
        <v>-</v>
      </c>
      <c r="AF55" s="234" t="str">
        <f t="shared" si="11"/>
        <v>-</v>
      </c>
      <c r="AG55" s="234" t="str">
        <f t="shared" si="11"/>
        <v>-</v>
      </c>
      <c r="AH55" s="234" t="str">
        <f t="shared" si="11"/>
        <v>-</v>
      </c>
      <c r="AI55" s="234" t="str">
        <f t="shared" si="11"/>
        <v>-</v>
      </c>
      <c r="AJ55" s="234" t="str">
        <f t="shared" si="11"/>
        <v>-</v>
      </c>
      <c r="AK55" s="234" t="str">
        <f t="shared" si="11"/>
        <v>-</v>
      </c>
      <c r="AL55" s="234" t="str">
        <f t="shared" si="11"/>
        <v>-</v>
      </c>
      <c r="AM55" s="234" t="str">
        <f t="shared" si="11"/>
        <v>-</v>
      </c>
      <c r="AN55" s="235" t="str">
        <f t="shared" si="11"/>
        <v>-</v>
      </c>
    </row>
    <row r="56" spans="1:40" ht="60" customHeight="1" outlineLevel="2">
      <c r="A56" s="185" t="s">
        <v>187</v>
      </c>
      <c r="B56" s="351" t="s">
        <v>436</v>
      </c>
      <c r="C56" s="187"/>
      <c r="D56" s="647" t="s">
        <v>250</v>
      </c>
      <c r="E56" s="647"/>
      <c r="F56" s="647"/>
      <c r="G56" s="332">
        <f>'Zał.1_WPF_bazowy'!F56</f>
        <v>0.0727</v>
      </c>
      <c r="H56" s="333">
        <f>'Zał.1_WPF_bazowy'!G56</f>
        <v>0.0904</v>
      </c>
      <c r="I56" s="333">
        <f>'Zał.1_WPF_bazowy'!H56</f>
        <v>0.0754</v>
      </c>
      <c r="J56" s="235">
        <f>+IF(J10&lt;&gt;0,(J23+J27+J40)/J10,"-")</f>
        <v>0.07289824823461416</v>
      </c>
      <c r="K56" s="233">
        <f>+IF(K10&lt;&gt;0,(K23+K27+K40)/K10,"-")</f>
        <v>0.0730312980694737</v>
      </c>
      <c r="L56" s="234">
        <f aca="true" t="shared" si="12" ref="L56:AN56">+IF(L10&lt;&gt;0,(L23+L27+L40)/L10,"-")</f>
        <v>0.049763510617840304</v>
      </c>
      <c r="M56" s="234">
        <f t="shared" si="12"/>
        <v>0.05166429776293961</v>
      </c>
      <c r="N56" s="234">
        <f t="shared" si="12"/>
        <v>0.0592810301011309</v>
      </c>
      <c r="O56" s="234">
        <f t="shared" si="12"/>
        <v>0.06013555459933678</v>
      </c>
      <c r="P56" s="234">
        <f t="shared" si="12"/>
        <v>0.055543223706825115</v>
      </c>
      <c r="Q56" s="234">
        <f t="shared" si="12"/>
        <v>0.04528599023380609</v>
      </c>
      <c r="R56" s="234">
        <f t="shared" si="12"/>
        <v>0.014252142616484043</v>
      </c>
      <c r="S56" s="234" t="str">
        <f t="shared" si="12"/>
        <v>-</v>
      </c>
      <c r="T56" s="234" t="str">
        <f t="shared" si="12"/>
        <v>-</v>
      </c>
      <c r="U56" s="234" t="str">
        <f t="shared" si="12"/>
        <v>-</v>
      </c>
      <c r="V56" s="234" t="str">
        <f t="shared" si="12"/>
        <v>-</v>
      </c>
      <c r="W56" s="234" t="str">
        <f t="shared" si="12"/>
        <v>-</v>
      </c>
      <c r="X56" s="234" t="str">
        <f t="shared" si="12"/>
        <v>-</v>
      </c>
      <c r="Y56" s="234" t="str">
        <f t="shared" si="12"/>
        <v>-</v>
      </c>
      <c r="Z56" s="234" t="str">
        <f t="shared" si="12"/>
        <v>-</v>
      </c>
      <c r="AA56" s="234" t="str">
        <f t="shared" si="12"/>
        <v>-</v>
      </c>
      <c r="AB56" s="234" t="str">
        <f t="shared" si="12"/>
        <v>-</v>
      </c>
      <c r="AC56" s="234" t="str">
        <f t="shared" si="12"/>
        <v>-</v>
      </c>
      <c r="AD56" s="234" t="str">
        <f t="shared" si="12"/>
        <v>-</v>
      </c>
      <c r="AE56" s="234" t="str">
        <f t="shared" si="12"/>
        <v>-</v>
      </c>
      <c r="AF56" s="234" t="str">
        <f t="shared" si="12"/>
        <v>-</v>
      </c>
      <c r="AG56" s="234" t="str">
        <f t="shared" si="12"/>
        <v>-</v>
      </c>
      <c r="AH56" s="234" t="str">
        <f t="shared" si="12"/>
        <v>-</v>
      </c>
      <c r="AI56" s="234" t="str">
        <f t="shared" si="12"/>
        <v>-</v>
      </c>
      <c r="AJ56" s="234" t="str">
        <f t="shared" si="12"/>
        <v>-</v>
      </c>
      <c r="AK56" s="234" t="str">
        <f t="shared" si="12"/>
        <v>-</v>
      </c>
      <c r="AL56" s="234" t="str">
        <f t="shared" si="12"/>
        <v>-</v>
      </c>
      <c r="AM56" s="234" t="str">
        <f t="shared" si="12"/>
        <v>-</v>
      </c>
      <c r="AN56" s="235" t="str">
        <f t="shared" si="12"/>
        <v>-</v>
      </c>
    </row>
    <row r="57" spans="1:40" ht="60" customHeight="1" outlineLevel="2">
      <c r="A57" s="185" t="s">
        <v>188</v>
      </c>
      <c r="B57" s="351" t="s">
        <v>437</v>
      </c>
      <c r="C57" s="187"/>
      <c r="D57" s="647" t="s">
        <v>249</v>
      </c>
      <c r="E57" s="647"/>
      <c r="F57" s="647"/>
      <c r="G57" s="332">
        <f>'Zał.1_WPF_bazowy'!F57</f>
        <v>0.0727</v>
      </c>
      <c r="H57" s="333">
        <f>'Zał.1_WPF_bazowy'!G57</f>
        <v>0.0904</v>
      </c>
      <c r="I57" s="333">
        <f>'Zał.1_WPF_bazowy'!H57</f>
        <v>0.0754</v>
      </c>
      <c r="J57" s="235">
        <f>+IF(J10&lt;&gt;0,(J23+J27+J40-J41)/J10,"-")</f>
        <v>0.07289824823461416</v>
      </c>
      <c r="K57" s="233">
        <f>+IF(K10&lt;&gt;0,(K23+K27+K40-K41)/K10,"-")</f>
        <v>0.0730312980694737</v>
      </c>
      <c r="L57" s="234">
        <f aca="true" t="shared" si="13" ref="L57:AN57">+IF(L10&lt;&gt;0,(L23+L27+L40-L41)/L10,"-")</f>
        <v>0.049763510617840304</v>
      </c>
      <c r="M57" s="234">
        <f t="shared" si="13"/>
        <v>0.05166429776293961</v>
      </c>
      <c r="N57" s="234">
        <f t="shared" si="13"/>
        <v>0.0592810301011309</v>
      </c>
      <c r="O57" s="234">
        <f t="shared" si="13"/>
        <v>0.06013555459933678</v>
      </c>
      <c r="P57" s="234">
        <f t="shared" si="13"/>
        <v>0.055543223706825115</v>
      </c>
      <c r="Q57" s="234">
        <f t="shared" si="13"/>
        <v>0.04528599023380609</v>
      </c>
      <c r="R57" s="234">
        <f t="shared" si="13"/>
        <v>0.014252142616484043</v>
      </c>
      <c r="S57" s="234" t="str">
        <f t="shared" si="13"/>
        <v>-</v>
      </c>
      <c r="T57" s="234" t="str">
        <f t="shared" si="13"/>
        <v>-</v>
      </c>
      <c r="U57" s="234" t="str">
        <f t="shared" si="13"/>
        <v>-</v>
      </c>
      <c r="V57" s="234" t="str">
        <f t="shared" si="13"/>
        <v>-</v>
      </c>
      <c r="W57" s="234" t="str">
        <f t="shared" si="13"/>
        <v>-</v>
      </c>
      <c r="X57" s="234" t="str">
        <f t="shared" si="13"/>
        <v>-</v>
      </c>
      <c r="Y57" s="234" t="str">
        <f t="shared" si="13"/>
        <v>-</v>
      </c>
      <c r="Z57" s="234" t="str">
        <f t="shared" si="13"/>
        <v>-</v>
      </c>
      <c r="AA57" s="234" t="str">
        <f t="shared" si="13"/>
        <v>-</v>
      </c>
      <c r="AB57" s="234" t="str">
        <f t="shared" si="13"/>
        <v>-</v>
      </c>
      <c r="AC57" s="234" t="str">
        <f t="shared" si="13"/>
        <v>-</v>
      </c>
      <c r="AD57" s="234" t="str">
        <f t="shared" si="13"/>
        <v>-</v>
      </c>
      <c r="AE57" s="234" t="str">
        <f t="shared" si="13"/>
        <v>-</v>
      </c>
      <c r="AF57" s="234" t="str">
        <f t="shared" si="13"/>
        <v>-</v>
      </c>
      <c r="AG57" s="234" t="str">
        <f t="shared" si="13"/>
        <v>-</v>
      </c>
      <c r="AH57" s="234" t="str">
        <f t="shared" si="13"/>
        <v>-</v>
      </c>
      <c r="AI57" s="234" t="str">
        <f t="shared" si="13"/>
        <v>-</v>
      </c>
      <c r="AJ57" s="234" t="str">
        <f t="shared" si="13"/>
        <v>-</v>
      </c>
      <c r="AK57" s="234" t="str">
        <f t="shared" si="13"/>
        <v>-</v>
      </c>
      <c r="AL57" s="234" t="str">
        <f t="shared" si="13"/>
        <v>-</v>
      </c>
      <c r="AM57" s="234" t="str">
        <f t="shared" si="13"/>
        <v>-</v>
      </c>
      <c r="AN57" s="235" t="str">
        <f t="shared" si="13"/>
        <v>-</v>
      </c>
    </row>
    <row r="58" spans="1:40" ht="36" customHeight="1" outlineLevel="2">
      <c r="A58" s="185" t="s">
        <v>189</v>
      </c>
      <c r="B58" s="351"/>
      <c r="C58" s="187"/>
      <c r="D58" s="647" t="s">
        <v>251</v>
      </c>
      <c r="E58" s="647"/>
      <c r="F58" s="647"/>
      <c r="G58" s="328">
        <f>'Zał.1_WPF_bazowy'!F58</f>
        <v>0</v>
      </c>
      <c r="H58" s="329">
        <f>'Zał.1_WPF_bazowy'!G58</f>
        <v>0</v>
      </c>
      <c r="I58" s="329">
        <f>'Zał.1_WPF_bazowy'!H58</f>
        <v>0</v>
      </c>
      <c r="J58" s="430">
        <f>'Zał.1_WPF_bazowy'!I58</f>
        <v>0</v>
      </c>
      <c r="K58" s="431">
        <f>+'Zał.1_WPF_bazowy'!J58</f>
        <v>0</v>
      </c>
      <c r="L58" s="432">
        <f>+'Zał.1_WPF_bazowy'!K58</f>
        <v>0</v>
      </c>
      <c r="M58" s="432">
        <f>+'Zał.1_WPF_bazowy'!L58</f>
        <v>0</v>
      </c>
      <c r="N58" s="432">
        <f>+'Zał.1_WPF_bazowy'!M58</f>
        <v>0</v>
      </c>
      <c r="O58" s="432">
        <f>+'Zał.1_WPF_bazowy'!N58</f>
        <v>0</v>
      </c>
      <c r="P58" s="432">
        <f>+'Zał.1_WPF_bazowy'!O58</f>
        <v>0</v>
      </c>
      <c r="Q58" s="432">
        <f>+'Zał.1_WPF_bazowy'!P58</f>
        <v>0</v>
      </c>
      <c r="R58" s="432">
        <f>+'Zał.1_WPF_bazowy'!Q58</f>
        <v>0</v>
      </c>
      <c r="S58" s="432">
        <f>+'Zał.1_WPF_bazowy'!R58</f>
        <v>0</v>
      </c>
      <c r="T58" s="432">
        <f>+'Zał.1_WPF_bazowy'!S58</f>
        <v>0</v>
      </c>
      <c r="U58" s="432">
        <f>+'Zał.1_WPF_bazowy'!T58</f>
        <v>0</v>
      </c>
      <c r="V58" s="432">
        <f>+'Zał.1_WPF_bazowy'!U58</f>
        <v>0</v>
      </c>
      <c r="W58" s="432">
        <f>+'Zał.1_WPF_bazowy'!V58</f>
        <v>0</v>
      </c>
      <c r="X58" s="432">
        <f>+'Zał.1_WPF_bazowy'!W58</f>
        <v>0</v>
      </c>
      <c r="Y58" s="432">
        <f>+'Zał.1_WPF_bazowy'!X58</f>
        <v>0</v>
      </c>
      <c r="Z58" s="432">
        <f>+'Zał.1_WPF_bazowy'!Y58</f>
        <v>0</v>
      </c>
      <c r="AA58" s="432">
        <f>+'Zał.1_WPF_bazowy'!Z58</f>
        <v>0</v>
      </c>
      <c r="AB58" s="432">
        <f>+'Zał.1_WPF_bazowy'!AA58</f>
        <v>0</v>
      </c>
      <c r="AC58" s="432">
        <f>+'Zał.1_WPF_bazowy'!AB58</f>
        <v>0</v>
      </c>
      <c r="AD58" s="432">
        <f>+'Zał.1_WPF_bazowy'!AC58</f>
        <v>0</v>
      </c>
      <c r="AE58" s="432">
        <f>+'Zał.1_WPF_bazowy'!AD58</f>
        <v>0</v>
      </c>
      <c r="AF58" s="432">
        <f>+'Zał.1_WPF_bazowy'!AE58</f>
        <v>0</v>
      </c>
      <c r="AG58" s="432">
        <f>+'Zał.1_WPF_bazowy'!AF58</f>
        <v>0</v>
      </c>
      <c r="AH58" s="432">
        <f>+'Zał.1_WPF_bazowy'!AG58</f>
        <v>0</v>
      </c>
      <c r="AI58" s="432">
        <f>+'Zał.1_WPF_bazowy'!AH58</f>
        <v>0</v>
      </c>
      <c r="AJ58" s="432">
        <f>+'Zał.1_WPF_bazowy'!AI58</f>
        <v>0</v>
      </c>
      <c r="AK58" s="432">
        <f>+'Zał.1_WPF_bazowy'!AJ58</f>
        <v>0</v>
      </c>
      <c r="AL58" s="432">
        <f>+'Zał.1_WPF_bazowy'!AK58</f>
        <v>0</v>
      </c>
      <c r="AM58" s="432">
        <f>+'Zał.1_WPF_bazowy'!AL58</f>
        <v>0</v>
      </c>
      <c r="AN58" s="433">
        <f>+'Zał.1_WPF_bazowy'!AM58</f>
        <v>0</v>
      </c>
    </row>
    <row r="59" spans="1:40" ht="60" customHeight="1" outlineLevel="2">
      <c r="A59" s="185" t="s">
        <v>190</v>
      </c>
      <c r="B59" s="351" t="s">
        <v>438</v>
      </c>
      <c r="C59" s="187"/>
      <c r="D59" s="647" t="s">
        <v>252</v>
      </c>
      <c r="E59" s="647"/>
      <c r="F59" s="647"/>
      <c r="G59" s="332">
        <f>'Zał.1_WPF_bazowy'!F59</f>
        <v>0.0727</v>
      </c>
      <c r="H59" s="333">
        <f>'Zał.1_WPF_bazowy'!G59</f>
        <v>0.0904</v>
      </c>
      <c r="I59" s="333">
        <f>'Zał.1_WPF_bazowy'!H59</f>
        <v>0.0754</v>
      </c>
      <c r="J59" s="235">
        <f>+IF(J10&lt;&gt;0,(J23+J27+J40+J58-J41)/J10,"-")</f>
        <v>0.07289824823461416</v>
      </c>
      <c r="K59" s="233">
        <f>+IF(K10&lt;&gt;0,(K23+K27+K40+K58-K41)/K10,"-")</f>
        <v>0.0730312980694737</v>
      </c>
      <c r="L59" s="234">
        <f aca="true" t="shared" si="14" ref="L59:AN59">+IF(L10&lt;&gt;0,(L23+L27+L40+L58-L41)/L10,"-")</f>
        <v>0.049763510617840304</v>
      </c>
      <c r="M59" s="234">
        <f t="shared" si="14"/>
        <v>0.05166429776293961</v>
      </c>
      <c r="N59" s="234">
        <f t="shared" si="14"/>
        <v>0.0592810301011309</v>
      </c>
      <c r="O59" s="234">
        <f t="shared" si="14"/>
        <v>0.06013555459933678</v>
      </c>
      <c r="P59" s="234">
        <f t="shared" si="14"/>
        <v>0.055543223706825115</v>
      </c>
      <c r="Q59" s="234">
        <f t="shared" si="14"/>
        <v>0.04528599023380609</v>
      </c>
      <c r="R59" s="234">
        <f t="shared" si="14"/>
        <v>0.014252142616484043</v>
      </c>
      <c r="S59" s="234" t="str">
        <f t="shared" si="14"/>
        <v>-</v>
      </c>
      <c r="T59" s="234" t="str">
        <f t="shared" si="14"/>
        <v>-</v>
      </c>
      <c r="U59" s="234" t="str">
        <f t="shared" si="14"/>
        <v>-</v>
      </c>
      <c r="V59" s="234" t="str">
        <f t="shared" si="14"/>
        <v>-</v>
      </c>
      <c r="W59" s="234" t="str">
        <f t="shared" si="14"/>
        <v>-</v>
      </c>
      <c r="X59" s="234" t="str">
        <f t="shared" si="14"/>
        <v>-</v>
      </c>
      <c r="Y59" s="234" t="str">
        <f t="shared" si="14"/>
        <v>-</v>
      </c>
      <c r="Z59" s="234" t="str">
        <f t="shared" si="14"/>
        <v>-</v>
      </c>
      <c r="AA59" s="234" t="str">
        <f t="shared" si="14"/>
        <v>-</v>
      </c>
      <c r="AB59" s="234" t="str">
        <f t="shared" si="14"/>
        <v>-</v>
      </c>
      <c r="AC59" s="234" t="str">
        <f t="shared" si="14"/>
        <v>-</v>
      </c>
      <c r="AD59" s="234" t="str">
        <f t="shared" si="14"/>
        <v>-</v>
      </c>
      <c r="AE59" s="234" t="str">
        <f t="shared" si="14"/>
        <v>-</v>
      </c>
      <c r="AF59" s="234" t="str">
        <f t="shared" si="14"/>
        <v>-</v>
      </c>
      <c r="AG59" s="234" t="str">
        <f t="shared" si="14"/>
        <v>-</v>
      </c>
      <c r="AH59" s="234" t="str">
        <f t="shared" si="14"/>
        <v>-</v>
      </c>
      <c r="AI59" s="234" t="str">
        <f t="shared" si="14"/>
        <v>-</v>
      </c>
      <c r="AJ59" s="234" t="str">
        <f t="shared" si="14"/>
        <v>-</v>
      </c>
      <c r="AK59" s="234" t="str">
        <f t="shared" si="14"/>
        <v>-</v>
      </c>
      <c r="AL59" s="234" t="str">
        <f t="shared" si="14"/>
        <v>-</v>
      </c>
      <c r="AM59" s="234" t="str">
        <f t="shared" si="14"/>
        <v>-</v>
      </c>
      <c r="AN59" s="235" t="str">
        <f t="shared" si="14"/>
        <v>-</v>
      </c>
    </row>
    <row r="60" spans="1:40" ht="14.25" outlineLevel="3">
      <c r="A60" s="185" t="s">
        <v>107</v>
      </c>
      <c r="B60" s="351" t="s">
        <v>440</v>
      </c>
      <c r="C60" s="187"/>
      <c r="D60" s="186" t="s">
        <v>439</v>
      </c>
      <c r="E60" s="186"/>
      <c r="F60" s="186"/>
      <c r="G60" s="420">
        <f>+IF(G10&lt;&gt;0,(G11+G19-G22)/G10,0)</f>
        <v>0.06262161531004169</v>
      </c>
      <c r="H60" s="234">
        <f>+IF(H10&lt;&gt;0,(H11+H19-H22)/H10,0)</f>
        <v>0.091417154746206</v>
      </c>
      <c r="I60" s="234">
        <f>+IF(I10&lt;&gt;0,(I11+I19-I22)/I10,0)</f>
        <v>0.010680377918999411</v>
      </c>
      <c r="J60" s="235">
        <f>+IF(J10&lt;&gt;0,(J11+J19-J22)/J10,0)</f>
        <v>0.0942190553324752</v>
      </c>
      <c r="K60" s="233">
        <f>+IF(K10&lt;&gt;0,(K11+K19-K22)/K10,"-")</f>
        <v>0.047712302366022766</v>
      </c>
      <c r="L60" s="234">
        <f aca="true" t="shared" si="15" ref="L60:AN60">+IF(L10&lt;&gt;0,(L11+L19-L22)/L10,"-")</f>
        <v>0.07327716501421254</v>
      </c>
      <c r="M60" s="234">
        <f t="shared" si="15"/>
        <v>0.09608426380301516</v>
      </c>
      <c r="N60" s="234">
        <f t="shared" si="15"/>
        <v>0.09739712064087748</v>
      </c>
      <c r="O60" s="234">
        <f t="shared" si="15"/>
        <v>0.09838117245841732</v>
      </c>
      <c r="P60" s="234">
        <f t="shared" si="15"/>
        <v>0.09916230407551314</v>
      </c>
      <c r="Q60" s="234">
        <f t="shared" si="15"/>
        <v>0.10183800749715904</v>
      </c>
      <c r="R60" s="234">
        <f t="shared" si="15"/>
        <v>0.10155985012354145</v>
      </c>
      <c r="S60" s="234" t="str">
        <f t="shared" si="15"/>
        <v>-</v>
      </c>
      <c r="T60" s="234" t="str">
        <f t="shared" si="15"/>
        <v>-</v>
      </c>
      <c r="U60" s="234" t="str">
        <f t="shared" si="15"/>
        <v>-</v>
      </c>
      <c r="V60" s="234" t="str">
        <f t="shared" si="15"/>
        <v>-</v>
      </c>
      <c r="W60" s="234" t="str">
        <f t="shared" si="15"/>
        <v>-</v>
      </c>
      <c r="X60" s="234" t="str">
        <f t="shared" si="15"/>
        <v>-</v>
      </c>
      <c r="Y60" s="234" t="str">
        <f t="shared" si="15"/>
        <v>-</v>
      </c>
      <c r="Z60" s="234" t="str">
        <f t="shared" si="15"/>
        <v>-</v>
      </c>
      <c r="AA60" s="234" t="str">
        <f t="shared" si="15"/>
        <v>-</v>
      </c>
      <c r="AB60" s="234" t="str">
        <f t="shared" si="15"/>
        <v>-</v>
      </c>
      <c r="AC60" s="234" t="str">
        <f t="shared" si="15"/>
        <v>-</v>
      </c>
      <c r="AD60" s="234" t="str">
        <f t="shared" si="15"/>
        <v>-</v>
      </c>
      <c r="AE60" s="234" t="str">
        <f t="shared" si="15"/>
        <v>-</v>
      </c>
      <c r="AF60" s="234" t="str">
        <f t="shared" si="15"/>
        <v>-</v>
      </c>
      <c r="AG60" s="234" t="str">
        <f t="shared" si="15"/>
        <v>-</v>
      </c>
      <c r="AH60" s="234" t="str">
        <f t="shared" si="15"/>
        <v>-</v>
      </c>
      <c r="AI60" s="234" t="str">
        <f t="shared" si="15"/>
        <v>-</v>
      </c>
      <c r="AJ60" s="234" t="str">
        <f t="shared" si="15"/>
        <v>-</v>
      </c>
      <c r="AK60" s="234" t="str">
        <f t="shared" si="15"/>
        <v>-</v>
      </c>
      <c r="AL60" s="234" t="str">
        <f t="shared" si="15"/>
        <v>-</v>
      </c>
      <c r="AM60" s="234" t="str">
        <f t="shared" si="15"/>
        <v>-</v>
      </c>
      <c r="AN60" s="235" t="str">
        <f t="shared" si="15"/>
        <v>-</v>
      </c>
    </row>
    <row r="61" spans="1:40" ht="60" customHeight="1" outlineLevel="2">
      <c r="A61" s="185" t="s">
        <v>191</v>
      </c>
      <c r="B61" s="351" t="s">
        <v>441</v>
      </c>
      <c r="C61" s="187"/>
      <c r="D61" s="647" t="s">
        <v>253</v>
      </c>
      <c r="E61" s="647"/>
      <c r="F61" s="647"/>
      <c r="G61" s="332">
        <f>'Zał.1_WPF_bazowy'!F61</f>
        <v>0</v>
      </c>
      <c r="H61" s="333">
        <f>'Zał.1_WPF_bazowy'!G61</f>
        <v>0</v>
      </c>
      <c r="I61" s="333">
        <f>'Zał.1_WPF_bazowy'!H61</f>
        <v>0</v>
      </c>
      <c r="J61" s="235">
        <f>+IF(J10&lt;&gt;0,(H60+G60+F60)/3,"-")</f>
        <v>0.0513462566854159</v>
      </c>
      <c r="K61" s="233">
        <f>+IF(K10&lt;&gt;0,(I60+H60+G60)/3,"-")</f>
        <v>0.05490638265841571</v>
      </c>
      <c r="L61" s="234">
        <f>+IF(L10&lt;&gt;0,(K60+I60+H60)/3,"-")</f>
        <v>0.04993661167707606</v>
      </c>
      <c r="M61" s="234">
        <f>+IF(M10&lt;&gt;0,(L60+K60+I60)/3,"-")</f>
        <v>0.043889948433078245</v>
      </c>
      <c r="N61" s="234">
        <f>+IF(N10&lt;&gt;0,(M60+L60+K60)/3,"-")</f>
        <v>0.07235791039441682</v>
      </c>
      <c r="O61" s="234">
        <f aca="true" t="shared" si="16" ref="O61:AN61">+IF(O10&lt;&gt;0,(N60+M60+L60)/3,"-")</f>
        <v>0.08891951648603506</v>
      </c>
      <c r="P61" s="234">
        <f t="shared" si="16"/>
        <v>0.09728751896743665</v>
      </c>
      <c r="Q61" s="234">
        <f t="shared" si="16"/>
        <v>0.09831353239160263</v>
      </c>
      <c r="R61" s="234">
        <f t="shared" si="16"/>
        <v>0.09979382801036317</v>
      </c>
      <c r="S61" s="234" t="str">
        <f t="shared" si="16"/>
        <v>-</v>
      </c>
      <c r="T61" s="234" t="str">
        <f t="shared" si="16"/>
        <v>-</v>
      </c>
      <c r="U61" s="234" t="str">
        <f t="shared" si="16"/>
        <v>-</v>
      </c>
      <c r="V61" s="234" t="str">
        <f t="shared" si="16"/>
        <v>-</v>
      </c>
      <c r="W61" s="234" t="str">
        <f t="shared" si="16"/>
        <v>-</v>
      </c>
      <c r="X61" s="234" t="str">
        <f t="shared" si="16"/>
        <v>-</v>
      </c>
      <c r="Y61" s="234" t="str">
        <f t="shared" si="16"/>
        <v>-</v>
      </c>
      <c r="Z61" s="234" t="str">
        <f t="shared" si="16"/>
        <v>-</v>
      </c>
      <c r="AA61" s="234" t="str">
        <f t="shared" si="16"/>
        <v>-</v>
      </c>
      <c r="AB61" s="234" t="str">
        <f t="shared" si="16"/>
        <v>-</v>
      </c>
      <c r="AC61" s="234" t="str">
        <f t="shared" si="16"/>
        <v>-</v>
      </c>
      <c r="AD61" s="234" t="str">
        <f t="shared" si="16"/>
        <v>-</v>
      </c>
      <c r="AE61" s="234" t="str">
        <f t="shared" si="16"/>
        <v>-</v>
      </c>
      <c r="AF61" s="234" t="str">
        <f t="shared" si="16"/>
        <v>-</v>
      </c>
      <c r="AG61" s="234" t="str">
        <f t="shared" si="16"/>
        <v>-</v>
      </c>
      <c r="AH61" s="234" t="str">
        <f t="shared" si="16"/>
        <v>-</v>
      </c>
      <c r="AI61" s="234" t="str">
        <f t="shared" si="16"/>
        <v>-</v>
      </c>
      <c r="AJ61" s="234" t="str">
        <f t="shared" si="16"/>
        <v>-</v>
      </c>
      <c r="AK61" s="234" t="str">
        <f t="shared" si="16"/>
        <v>-</v>
      </c>
      <c r="AL61" s="234" t="str">
        <f t="shared" si="16"/>
        <v>-</v>
      </c>
      <c r="AM61" s="234" t="str">
        <f t="shared" si="16"/>
        <v>-</v>
      </c>
      <c r="AN61" s="235" t="str">
        <f t="shared" si="16"/>
        <v>-</v>
      </c>
    </row>
    <row r="62" spans="1:40" ht="60" customHeight="1" outlineLevel="2">
      <c r="A62" s="185" t="s">
        <v>110</v>
      </c>
      <c r="B62" s="351" t="s">
        <v>441</v>
      </c>
      <c r="C62" s="187"/>
      <c r="D62" s="188"/>
      <c r="E62" s="647" t="s">
        <v>254</v>
      </c>
      <c r="F62" s="647"/>
      <c r="G62" s="332">
        <f>'Zał.1_WPF_bazowy'!F62</f>
        <v>0</v>
      </c>
      <c r="H62" s="333">
        <f>'Zał.1_WPF_bazowy'!G62</f>
        <v>0</v>
      </c>
      <c r="I62" s="333">
        <f>'Zał.1_WPF_bazowy'!H62</f>
        <v>0</v>
      </c>
      <c r="J62" s="235">
        <f>+IF(J10&lt;&gt;0,(I60+G60+F60)/3,"-")</f>
        <v>0.0244339977430137</v>
      </c>
      <c r="K62" s="233">
        <f>+IF(K10&lt;&gt;0,(J60+H60+G60)/3,"-")</f>
        <v>0.08275260846290762</v>
      </c>
      <c r="L62" s="234">
        <f>+IF(L10&lt;&gt;0,(K60+J60+H60)/3,"-")</f>
        <v>0.07778283748156799</v>
      </c>
      <c r="M62" s="234">
        <f>+IF(M10&lt;&gt;0,(L60+K60+J60)/3,"-")</f>
        <v>0.07173617423757017</v>
      </c>
      <c r="N62" s="234">
        <f>+IF(N10&lt;&gt;0,(M60+L60+K60)/3,"-")</f>
        <v>0.07235791039441682</v>
      </c>
      <c r="O62" s="234">
        <f aca="true" t="shared" si="17" ref="O62:AN62">+IF(O10&lt;&gt;0,(N60+M60+L60)/3,"-")</f>
        <v>0.08891951648603506</v>
      </c>
      <c r="P62" s="234">
        <f t="shared" si="17"/>
        <v>0.09728751896743665</v>
      </c>
      <c r="Q62" s="234">
        <f t="shared" si="17"/>
        <v>0.09831353239160263</v>
      </c>
      <c r="R62" s="234">
        <f t="shared" si="17"/>
        <v>0.09979382801036317</v>
      </c>
      <c r="S62" s="234" t="str">
        <f t="shared" si="17"/>
        <v>-</v>
      </c>
      <c r="T62" s="234" t="str">
        <f t="shared" si="17"/>
        <v>-</v>
      </c>
      <c r="U62" s="234" t="str">
        <f t="shared" si="17"/>
        <v>-</v>
      </c>
      <c r="V62" s="234" t="str">
        <f t="shared" si="17"/>
        <v>-</v>
      </c>
      <c r="W62" s="234" t="str">
        <f t="shared" si="17"/>
        <v>-</v>
      </c>
      <c r="X62" s="234" t="str">
        <f t="shared" si="17"/>
        <v>-</v>
      </c>
      <c r="Y62" s="234" t="str">
        <f t="shared" si="17"/>
        <v>-</v>
      </c>
      <c r="Z62" s="234" t="str">
        <f t="shared" si="17"/>
        <v>-</v>
      </c>
      <c r="AA62" s="234" t="str">
        <f t="shared" si="17"/>
        <v>-</v>
      </c>
      <c r="AB62" s="234" t="str">
        <f t="shared" si="17"/>
        <v>-</v>
      </c>
      <c r="AC62" s="234" t="str">
        <f t="shared" si="17"/>
        <v>-</v>
      </c>
      <c r="AD62" s="234" t="str">
        <f t="shared" si="17"/>
        <v>-</v>
      </c>
      <c r="AE62" s="234" t="str">
        <f t="shared" si="17"/>
        <v>-</v>
      </c>
      <c r="AF62" s="234" t="str">
        <f t="shared" si="17"/>
        <v>-</v>
      </c>
      <c r="AG62" s="234" t="str">
        <f t="shared" si="17"/>
        <v>-</v>
      </c>
      <c r="AH62" s="234" t="str">
        <f t="shared" si="17"/>
        <v>-</v>
      </c>
      <c r="AI62" s="234" t="str">
        <f t="shared" si="17"/>
        <v>-</v>
      </c>
      <c r="AJ62" s="234" t="str">
        <f t="shared" si="17"/>
        <v>-</v>
      </c>
      <c r="AK62" s="234" t="str">
        <f t="shared" si="17"/>
        <v>-</v>
      </c>
      <c r="AL62" s="234" t="str">
        <f t="shared" si="17"/>
        <v>-</v>
      </c>
      <c r="AM62" s="234" t="str">
        <f t="shared" si="17"/>
        <v>-</v>
      </c>
      <c r="AN62" s="235" t="str">
        <f t="shared" si="17"/>
        <v>-</v>
      </c>
    </row>
    <row r="63" spans="1:40" ht="60" customHeight="1" outlineLevel="2">
      <c r="A63" s="185" t="s">
        <v>192</v>
      </c>
      <c r="B63" s="351" t="s">
        <v>442</v>
      </c>
      <c r="C63" s="187"/>
      <c r="D63" s="654" t="s">
        <v>256</v>
      </c>
      <c r="E63" s="655"/>
      <c r="F63" s="655"/>
      <c r="G63" s="619" t="str">
        <f>+IF(G10&lt;&gt;0,IF(G61&gt;=G59,"Spełniona","Nie spełniona"),"-")</f>
        <v>Nie spełniona</v>
      </c>
      <c r="H63" s="239" t="str">
        <f aca="true" t="shared" si="18" ref="H63:AN63">+IF(H10&lt;&gt;0,IF(H61&gt;=H59,"Spełniona","Nie spełniona"),"-")</f>
        <v>Nie spełniona</v>
      </c>
      <c r="I63" s="239" t="str">
        <f t="shared" si="18"/>
        <v>Nie spełniona</v>
      </c>
      <c r="J63" s="240" t="str">
        <f t="shared" si="18"/>
        <v>Nie spełniona</v>
      </c>
      <c r="K63" s="239" t="str">
        <f t="shared" si="18"/>
        <v>Nie spełniona</v>
      </c>
      <c r="L63" s="239" t="str">
        <f t="shared" si="18"/>
        <v>Spełniona</v>
      </c>
      <c r="M63" s="239" t="str">
        <f t="shared" si="18"/>
        <v>Nie spełniona</v>
      </c>
      <c r="N63" s="239" t="str">
        <f t="shared" si="18"/>
        <v>Spełniona</v>
      </c>
      <c r="O63" s="239" t="str">
        <f t="shared" si="18"/>
        <v>Spełniona</v>
      </c>
      <c r="P63" s="239" t="str">
        <f t="shared" si="18"/>
        <v>Spełniona</v>
      </c>
      <c r="Q63" s="239" t="str">
        <f t="shared" si="18"/>
        <v>Spełniona</v>
      </c>
      <c r="R63" s="239" t="str">
        <f t="shared" si="18"/>
        <v>Spełniona</v>
      </c>
      <c r="S63" s="239" t="str">
        <f t="shared" si="18"/>
        <v>-</v>
      </c>
      <c r="T63" s="239" t="str">
        <f t="shared" si="18"/>
        <v>-</v>
      </c>
      <c r="U63" s="239" t="str">
        <f t="shared" si="18"/>
        <v>-</v>
      </c>
      <c r="V63" s="239" t="str">
        <f t="shared" si="18"/>
        <v>-</v>
      </c>
      <c r="W63" s="239" t="str">
        <f t="shared" si="18"/>
        <v>-</v>
      </c>
      <c r="X63" s="239" t="str">
        <f t="shared" si="18"/>
        <v>-</v>
      </c>
      <c r="Y63" s="239" t="str">
        <f t="shared" si="18"/>
        <v>-</v>
      </c>
      <c r="Z63" s="239" t="str">
        <f t="shared" si="18"/>
        <v>-</v>
      </c>
      <c r="AA63" s="239" t="str">
        <f t="shared" si="18"/>
        <v>-</v>
      </c>
      <c r="AB63" s="239" t="str">
        <f t="shared" si="18"/>
        <v>-</v>
      </c>
      <c r="AC63" s="239" t="str">
        <f t="shared" si="18"/>
        <v>-</v>
      </c>
      <c r="AD63" s="239" t="str">
        <f t="shared" si="18"/>
        <v>-</v>
      </c>
      <c r="AE63" s="239" t="str">
        <f t="shared" si="18"/>
        <v>-</v>
      </c>
      <c r="AF63" s="239" t="str">
        <f t="shared" si="18"/>
        <v>-</v>
      </c>
      <c r="AG63" s="239" t="str">
        <f t="shared" si="18"/>
        <v>-</v>
      </c>
      <c r="AH63" s="239" t="str">
        <f t="shared" si="18"/>
        <v>-</v>
      </c>
      <c r="AI63" s="239" t="str">
        <f t="shared" si="18"/>
        <v>-</v>
      </c>
      <c r="AJ63" s="239" t="str">
        <f t="shared" si="18"/>
        <v>-</v>
      </c>
      <c r="AK63" s="239" t="str">
        <f t="shared" si="18"/>
        <v>-</v>
      </c>
      <c r="AL63" s="239" t="str">
        <f t="shared" si="18"/>
        <v>-</v>
      </c>
      <c r="AM63" s="239" t="str">
        <f t="shared" si="18"/>
        <v>-</v>
      </c>
      <c r="AN63" s="240" t="str">
        <f t="shared" si="18"/>
        <v>-</v>
      </c>
    </row>
    <row r="64" spans="1:40" ht="60" customHeight="1" outlineLevel="2">
      <c r="A64" s="185" t="s">
        <v>113</v>
      </c>
      <c r="B64" s="351" t="s">
        <v>443</v>
      </c>
      <c r="C64" s="187"/>
      <c r="D64" s="620"/>
      <c r="E64" s="655" t="s">
        <v>255</v>
      </c>
      <c r="F64" s="655"/>
      <c r="G64" s="619" t="str">
        <f>+IF(G10&lt;&gt;0,IF(G62&gt;=G59,"Spełniona","Nie spełniona"),"-")</f>
        <v>Nie spełniona</v>
      </c>
      <c r="H64" s="239" t="str">
        <f aca="true" t="shared" si="19" ref="H64:AN64">+IF(H10&lt;&gt;0,IF(H62&gt;=H59,"Spełniona","Nie spełniona"),"-")</f>
        <v>Nie spełniona</v>
      </c>
      <c r="I64" s="239" t="str">
        <f t="shared" si="19"/>
        <v>Nie spełniona</v>
      </c>
      <c r="J64" s="240" t="str">
        <f t="shared" si="19"/>
        <v>Nie spełniona</v>
      </c>
      <c r="K64" s="239" t="str">
        <f t="shared" si="19"/>
        <v>Spełniona</v>
      </c>
      <c r="L64" s="239" t="str">
        <f t="shared" si="19"/>
        <v>Spełniona</v>
      </c>
      <c r="M64" s="239" t="str">
        <f t="shared" si="19"/>
        <v>Spełniona</v>
      </c>
      <c r="N64" s="239" t="str">
        <f t="shared" si="19"/>
        <v>Spełniona</v>
      </c>
      <c r="O64" s="239" t="str">
        <f t="shared" si="19"/>
        <v>Spełniona</v>
      </c>
      <c r="P64" s="239" t="str">
        <f t="shared" si="19"/>
        <v>Spełniona</v>
      </c>
      <c r="Q64" s="239" t="str">
        <f t="shared" si="19"/>
        <v>Spełniona</v>
      </c>
      <c r="R64" s="239" t="str">
        <f t="shared" si="19"/>
        <v>Spełniona</v>
      </c>
      <c r="S64" s="239" t="str">
        <f t="shared" si="19"/>
        <v>-</v>
      </c>
      <c r="T64" s="239" t="str">
        <f t="shared" si="19"/>
        <v>-</v>
      </c>
      <c r="U64" s="239" t="str">
        <f t="shared" si="19"/>
        <v>-</v>
      </c>
      <c r="V64" s="239" t="str">
        <f t="shared" si="19"/>
        <v>-</v>
      </c>
      <c r="W64" s="239" t="str">
        <f t="shared" si="19"/>
        <v>-</v>
      </c>
      <c r="X64" s="239" t="str">
        <f t="shared" si="19"/>
        <v>-</v>
      </c>
      <c r="Y64" s="239" t="str">
        <f t="shared" si="19"/>
        <v>-</v>
      </c>
      <c r="Z64" s="239" t="str">
        <f t="shared" si="19"/>
        <v>-</v>
      </c>
      <c r="AA64" s="239" t="str">
        <f t="shared" si="19"/>
        <v>-</v>
      </c>
      <c r="AB64" s="239" t="str">
        <f t="shared" si="19"/>
        <v>-</v>
      </c>
      <c r="AC64" s="239" t="str">
        <f t="shared" si="19"/>
        <v>-</v>
      </c>
      <c r="AD64" s="239" t="str">
        <f t="shared" si="19"/>
        <v>-</v>
      </c>
      <c r="AE64" s="239" t="str">
        <f t="shared" si="19"/>
        <v>-</v>
      </c>
      <c r="AF64" s="239" t="str">
        <f t="shared" si="19"/>
        <v>-</v>
      </c>
      <c r="AG64" s="239" t="str">
        <f t="shared" si="19"/>
        <v>-</v>
      </c>
      <c r="AH64" s="239" t="str">
        <f t="shared" si="19"/>
        <v>-</v>
      </c>
      <c r="AI64" s="239" t="str">
        <f t="shared" si="19"/>
        <v>-</v>
      </c>
      <c r="AJ64" s="239" t="str">
        <f t="shared" si="19"/>
        <v>-</v>
      </c>
      <c r="AK64" s="239" t="str">
        <f t="shared" si="19"/>
        <v>-</v>
      </c>
      <c r="AL64" s="239" t="str">
        <f t="shared" si="19"/>
        <v>-</v>
      </c>
      <c r="AM64" s="239" t="str">
        <f t="shared" si="19"/>
        <v>-</v>
      </c>
      <c r="AN64" s="240" t="str">
        <f t="shared" si="19"/>
        <v>-</v>
      </c>
    </row>
    <row r="65" spans="1:40" s="184" customFormat="1" ht="15" outlineLevel="1">
      <c r="A65" s="183">
        <v>10</v>
      </c>
      <c r="B65" s="350"/>
      <c r="C65" s="648" t="s">
        <v>257</v>
      </c>
      <c r="D65" s="649"/>
      <c r="E65" s="649"/>
      <c r="F65" s="649"/>
      <c r="G65" s="326">
        <f>'Zał.1_WPF_bazowy'!F65</f>
        <v>0</v>
      </c>
      <c r="H65" s="327">
        <f>'Zał.1_WPF_bazowy'!G65</f>
        <v>0</v>
      </c>
      <c r="I65" s="327">
        <f>'Zał.1_WPF_bazowy'!H65</f>
        <v>0</v>
      </c>
      <c r="J65" s="435">
        <f>'Zał.1_WPF_bazowy'!I65</f>
        <v>0</v>
      </c>
      <c r="K65" s="439">
        <f>+'Zał.1_WPF_bazowy'!J65</f>
        <v>0</v>
      </c>
      <c r="L65" s="440">
        <f>+'Zał.1_WPF_bazowy'!K65</f>
        <v>207298.3</v>
      </c>
      <c r="M65" s="440">
        <f>+'Zał.1_WPF_bazowy'!L65</f>
        <v>826000</v>
      </c>
      <c r="N65" s="440">
        <f>+'Zał.1_WPF_bazowy'!M65</f>
        <v>1050000</v>
      </c>
      <c r="O65" s="440">
        <f>+'Zał.1_WPF_bazowy'!N65</f>
        <v>1150000</v>
      </c>
      <c r="P65" s="440">
        <f>+'Zał.1_WPF_bazowy'!O65</f>
        <v>1123921</v>
      </c>
      <c r="Q65" s="440">
        <f>+'Zał.1_WPF_bazowy'!P65</f>
        <v>1000000</v>
      </c>
      <c r="R65" s="440">
        <f>+'Zał.1_WPF_bazowy'!Q65</f>
        <v>249496.46</v>
      </c>
      <c r="S65" s="440">
        <f>+'Zał.1_WPF_bazowy'!R65</f>
        <v>0</v>
      </c>
      <c r="T65" s="440">
        <f>+'Zał.1_WPF_bazowy'!S65</f>
        <v>0</v>
      </c>
      <c r="U65" s="440">
        <f>+'Zał.1_WPF_bazowy'!T65</f>
        <v>0</v>
      </c>
      <c r="V65" s="440">
        <f>+'Zał.1_WPF_bazowy'!U65</f>
        <v>0</v>
      </c>
      <c r="W65" s="440">
        <f>+'Zał.1_WPF_bazowy'!V65</f>
        <v>0</v>
      </c>
      <c r="X65" s="440">
        <f>+'Zał.1_WPF_bazowy'!W65</f>
        <v>0</v>
      </c>
      <c r="Y65" s="440">
        <f>+'Zał.1_WPF_bazowy'!X65</f>
        <v>0</v>
      </c>
      <c r="Z65" s="440">
        <f>+'Zał.1_WPF_bazowy'!Y65</f>
        <v>0</v>
      </c>
      <c r="AA65" s="440">
        <f>+'Zał.1_WPF_bazowy'!Z65</f>
        <v>0</v>
      </c>
      <c r="AB65" s="440">
        <f>+'Zał.1_WPF_bazowy'!AA65</f>
        <v>0</v>
      </c>
      <c r="AC65" s="440">
        <f>+'Zał.1_WPF_bazowy'!AB65</f>
        <v>0</v>
      </c>
      <c r="AD65" s="440">
        <f>+'Zał.1_WPF_bazowy'!AC65</f>
        <v>0</v>
      </c>
      <c r="AE65" s="440">
        <f>+'Zał.1_WPF_bazowy'!AD65</f>
        <v>0</v>
      </c>
      <c r="AF65" s="440">
        <f>+'Zał.1_WPF_bazowy'!AE65</f>
        <v>0</v>
      </c>
      <c r="AG65" s="440">
        <f>+'Zał.1_WPF_bazowy'!AF65</f>
        <v>0</v>
      </c>
      <c r="AH65" s="440">
        <f>+'Zał.1_WPF_bazowy'!AG65</f>
        <v>0</v>
      </c>
      <c r="AI65" s="440">
        <f>+'Zał.1_WPF_bazowy'!AH65</f>
        <v>0</v>
      </c>
      <c r="AJ65" s="440">
        <f>+'Zał.1_WPF_bazowy'!AI65</f>
        <v>0</v>
      </c>
      <c r="AK65" s="440">
        <f>+'Zał.1_WPF_bazowy'!AJ65</f>
        <v>0</v>
      </c>
      <c r="AL65" s="440">
        <f>+'Zał.1_WPF_bazowy'!AK65</f>
        <v>0</v>
      </c>
      <c r="AM65" s="440">
        <f>+'Zał.1_WPF_bazowy'!AL65</f>
        <v>0</v>
      </c>
      <c r="AN65" s="441">
        <f>+'Zał.1_WPF_bazowy'!AM65</f>
        <v>0</v>
      </c>
    </row>
    <row r="66" spans="1:256" s="172" customFormat="1" ht="14.25" outlineLevel="2">
      <c r="A66" s="185" t="s">
        <v>193</v>
      </c>
      <c r="B66" s="351"/>
      <c r="C66" s="187"/>
      <c r="D66" s="647" t="s">
        <v>258</v>
      </c>
      <c r="E66" s="647"/>
      <c r="F66" s="647"/>
      <c r="G66" s="328">
        <f>'Zał.1_WPF_bazowy'!F66</f>
        <v>0</v>
      </c>
      <c r="H66" s="329">
        <f>'Zał.1_WPF_bazowy'!G66</f>
        <v>0</v>
      </c>
      <c r="I66" s="329">
        <f>'Zał.1_WPF_bazowy'!H66</f>
        <v>0</v>
      </c>
      <c r="J66" s="430">
        <f>'Zał.1_WPF_bazowy'!I66</f>
        <v>0</v>
      </c>
      <c r="K66" s="431">
        <f>+'Zał.1_WPF_bazowy'!J66</f>
        <v>0</v>
      </c>
      <c r="L66" s="432">
        <f>+'Zał.1_WPF_bazowy'!K66</f>
        <v>207298.3</v>
      </c>
      <c r="M66" s="432">
        <f>+'Zał.1_WPF_bazowy'!L66</f>
        <v>826000</v>
      </c>
      <c r="N66" s="432">
        <f>+'Zał.1_WPF_bazowy'!M66</f>
        <v>1050000</v>
      </c>
      <c r="O66" s="432">
        <f>+'Zał.1_WPF_bazowy'!N66</f>
        <v>1150000</v>
      </c>
      <c r="P66" s="432">
        <f>+'Zał.1_WPF_bazowy'!O66</f>
        <v>1123921</v>
      </c>
      <c r="Q66" s="432">
        <f>+'Zał.1_WPF_bazowy'!P66</f>
        <v>1000000</v>
      </c>
      <c r="R66" s="432">
        <f>+'Zał.1_WPF_bazowy'!Q66</f>
        <v>249496.46</v>
      </c>
      <c r="S66" s="432">
        <f>+'Zał.1_WPF_bazowy'!R66</f>
        <v>0</v>
      </c>
      <c r="T66" s="432">
        <f>+'Zał.1_WPF_bazowy'!S66</f>
        <v>0</v>
      </c>
      <c r="U66" s="432">
        <f>+'Zał.1_WPF_bazowy'!T66</f>
        <v>0</v>
      </c>
      <c r="V66" s="432">
        <f>+'Zał.1_WPF_bazowy'!U66</f>
        <v>0</v>
      </c>
      <c r="W66" s="432">
        <f>+'Zał.1_WPF_bazowy'!V66</f>
        <v>0</v>
      </c>
      <c r="X66" s="432">
        <f>+'Zał.1_WPF_bazowy'!W66</f>
        <v>0</v>
      </c>
      <c r="Y66" s="432">
        <f>+'Zał.1_WPF_bazowy'!X66</f>
        <v>0</v>
      </c>
      <c r="Z66" s="432">
        <f>+'Zał.1_WPF_bazowy'!Y66</f>
        <v>0</v>
      </c>
      <c r="AA66" s="432">
        <f>+'Zał.1_WPF_bazowy'!Z66</f>
        <v>0</v>
      </c>
      <c r="AB66" s="432">
        <f>+'Zał.1_WPF_bazowy'!AA66</f>
        <v>0</v>
      </c>
      <c r="AC66" s="432">
        <f>+'Zał.1_WPF_bazowy'!AB66</f>
        <v>0</v>
      </c>
      <c r="AD66" s="432">
        <f>+'Zał.1_WPF_bazowy'!AC66</f>
        <v>0</v>
      </c>
      <c r="AE66" s="432">
        <f>+'Zał.1_WPF_bazowy'!AD66</f>
        <v>0</v>
      </c>
      <c r="AF66" s="432">
        <f>+'Zał.1_WPF_bazowy'!AE66</f>
        <v>0</v>
      </c>
      <c r="AG66" s="432">
        <f>+'Zał.1_WPF_bazowy'!AF66</f>
        <v>0</v>
      </c>
      <c r="AH66" s="432">
        <f>+'Zał.1_WPF_bazowy'!AG66</f>
        <v>0</v>
      </c>
      <c r="AI66" s="432">
        <f>+'Zał.1_WPF_bazowy'!AH66</f>
        <v>0</v>
      </c>
      <c r="AJ66" s="432">
        <f>+'Zał.1_WPF_bazowy'!AI66</f>
        <v>0</v>
      </c>
      <c r="AK66" s="432">
        <f>+'Zał.1_WPF_bazowy'!AJ66</f>
        <v>0</v>
      </c>
      <c r="AL66" s="432">
        <f>+'Zał.1_WPF_bazowy'!AK66</f>
        <v>0</v>
      </c>
      <c r="AM66" s="432">
        <f>+'Zał.1_WPF_bazowy'!AL66</f>
        <v>0</v>
      </c>
      <c r="AN66" s="433">
        <f>+'Zał.1_WPF_bazowy'!AM66</f>
        <v>0</v>
      </c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0"/>
      <c r="FO66" s="160"/>
      <c r="FP66" s="160"/>
      <c r="FQ66" s="160"/>
      <c r="FR66" s="160"/>
      <c r="FS66" s="160"/>
      <c r="FT66" s="160"/>
      <c r="FU66" s="160"/>
      <c r="FV66" s="160"/>
      <c r="FW66" s="160"/>
      <c r="FX66" s="160"/>
      <c r="FY66" s="160"/>
      <c r="FZ66" s="160"/>
      <c r="GA66" s="160"/>
      <c r="GB66" s="160"/>
      <c r="GC66" s="160"/>
      <c r="GD66" s="160"/>
      <c r="GE66" s="160"/>
      <c r="GF66" s="160"/>
      <c r="GG66" s="160"/>
      <c r="GH66" s="160"/>
      <c r="GI66" s="160"/>
      <c r="GJ66" s="160"/>
      <c r="GK66" s="160"/>
      <c r="GL66" s="160"/>
      <c r="GM66" s="160"/>
      <c r="GN66" s="160"/>
      <c r="GO66" s="160"/>
      <c r="GP66" s="160"/>
      <c r="GQ66" s="160"/>
      <c r="GR66" s="160"/>
      <c r="GS66" s="160"/>
      <c r="GT66" s="160"/>
      <c r="GU66" s="160"/>
      <c r="GV66" s="160"/>
      <c r="GW66" s="160"/>
      <c r="GX66" s="160"/>
      <c r="GY66" s="160"/>
      <c r="GZ66" s="160"/>
      <c r="HA66" s="160"/>
      <c r="HB66" s="160"/>
      <c r="HC66" s="160"/>
      <c r="HD66" s="160"/>
      <c r="HE66" s="160"/>
      <c r="HF66" s="160"/>
      <c r="HG66" s="160"/>
      <c r="HH66" s="160"/>
      <c r="HI66" s="160"/>
      <c r="HJ66" s="160"/>
      <c r="HK66" s="160"/>
      <c r="HL66" s="160"/>
      <c r="HM66" s="160"/>
      <c r="HN66" s="160"/>
      <c r="HO66" s="160"/>
      <c r="HP66" s="160"/>
      <c r="HQ66" s="160"/>
      <c r="HR66" s="160"/>
      <c r="HS66" s="160"/>
      <c r="HT66" s="160"/>
      <c r="HU66" s="160"/>
      <c r="HV66" s="160"/>
      <c r="HW66" s="160"/>
      <c r="HX66" s="160"/>
      <c r="HY66" s="160"/>
      <c r="HZ66" s="160"/>
      <c r="IA66" s="160"/>
      <c r="IB66" s="160"/>
      <c r="IC66" s="160"/>
      <c r="ID66" s="160"/>
      <c r="IE66" s="160"/>
      <c r="IF66" s="160"/>
      <c r="IG66" s="160"/>
      <c r="IH66" s="160"/>
      <c r="II66" s="160"/>
      <c r="IJ66" s="160"/>
      <c r="IK66" s="160"/>
      <c r="IL66" s="160"/>
      <c r="IM66" s="160"/>
      <c r="IN66" s="160"/>
      <c r="IO66" s="160"/>
      <c r="IP66" s="160"/>
      <c r="IQ66" s="160"/>
      <c r="IR66" s="160"/>
      <c r="IS66" s="160"/>
      <c r="IT66" s="160"/>
      <c r="IU66" s="160"/>
      <c r="IV66" s="160"/>
    </row>
    <row r="67" spans="1:256" s="193" customFormat="1" ht="24" customHeight="1" outlineLevel="1">
      <c r="A67" s="183">
        <v>11</v>
      </c>
      <c r="B67" s="350"/>
      <c r="C67" s="648" t="s">
        <v>117</v>
      </c>
      <c r="D67" s="649"/>
      <c r="E67" s="649"/>
      <c r="F67" s="649"/>
      <c r="G67" s="334" t="s">
        <v>31</v>
      </c>
      <c r="H67" s="335" t="s">
        <v>31</v>
      </c>
      <c r="I67" s="335" t="s">
        <v>31</v>
      </c>
      <c r="J67" s="442" t="s">
        <v>31</v>
      </c>
      <c r="K67" s="443" t="s">
        <v>31</v>
      </c>
      <c r="L67" s="444" t="s">
        <v>31</v>
      </c>
      <c r="M67" s="444" t="s">
        <v>31</v>
      </c>
      <c r="N67" s="444" t="s">
        <v>31</v>
      </c>
      <c r="O67" s="444" t="s">
        <v>31</v>
      </c>
      <c r="P67" s="444" t="s">
        <v>31</v>
      </c>
      <c r="Q67" s="444" t="s">
        <v>31</v>
      </c>
      <c r="R67" s="444" t="s">
        <v>31</v>
      </c>
      <c r="S67" s="444" t="s">
        <v>31</v>
      </c>
      <c r="T67" s="444" t="s">
        <v>31</v>
      </c>
      <c r="U67" s="444" t="s">
        <v>31</v>
      </c>
      <c r="V67" s="444" t="s">
        <v>31</v>
      </c>
      <c r="W67" s="444" t="s">
        <v>31</v>
      </c>
      <c r="X67" s="444" t="s">
        <v>31</v>
      </c>
      <c r="Y67" s="444" t="s">
        <v>31</v>
      </c>
      <c r="Z67" s="444" t="s">
        <v>31</v>
      </c>
      <c r="AA67" s="444" t="s">
        <v>31</v>
      </c>
      <c r="AB67" s="444" t="s">
        <v>31</v>
      </c>
      <c r="AC67" s="444" t="s">
        <v>31</v>
      </c>
      <c r="AD67" s="444" t="s">
        <v>31</v>
      </c>
      <c r="AE67" s="444" t="s">
        <v>31</v>
      </c>
      <c r="AF67" s="444" t="s">
        <v>31</v>
      </c>
      <c r="AG67" s="444" t="s">
        <v>31</v>
      </c>
      <c r="AH67" s="444" t="s">
        <v>31</v>
      </c>
      <c r="AI67" s="444" t="s">
        <v>31</v>
      </c>
      <c r="AJ67" s="444" t="s">
        <v>31</v>
      </c>
      <c r="AK67" s="444" t="s">
        <v>31</v>
      </c>
      <c r="AL67" s="444" t="s">
        <v>31</v>
      </c>
      <c r="AM67" s="444" t="s">
        <v>31</v>
      </c>
      <c r="AN67" s="445" t="s">
        <v>31</v>
      </c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/>
      <c r="DS67" s="184"/>
      <c r="DT67" s="184"/>
      <c r="DU67" s="184"/>
      <c r="DV67" s="184"/>
      <c r="DW67" s="184"/>
      <c r="DX67" s="184"/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4"/>
      <c r="EK67" s="184"/>
      <c r="EL67" s="184"/>
      <c r="EM67" s="184"/>
      <c r="EN67" s="184"/>
      <c r="EO67" s="184"/>
      <c r="EP67" s="184"/>
      <c r="EQ67" s="184"/>
      <c r="ER67" s="184"/>
      <c r="ES67" s="184"/>
      <c r="ET67" s="184"/>
      <c r="EU67" s="184"/>
      <c r="EV67" s="184"/>
      <c r="EW67" s="184"/>
      <c r="EX67" s="184"/>
      <c r="EY67" s="184"/>
      <c r="EZ67" s="184"/>
      <c r="FA67" s="184"/>
      <c r="FB67" s="184"/>
      <c r="FC67" s="184"/>
      <c r="FD67" s="184"/>
      <c r="FE67" s="184"/>
      <c r="FF67" s="184"/>
      <c r="FG67" s="184"/>
      <c r="FH67" s="184"/>
      <c r="FI67" s="184"/>
      <c r="FJ67" s="184"/>
      <c r="FK67" s="184"/>
      <c r="FL67" s="184"/>
      <c r="FM67" s="184"/>
      <c r="FN67" s="184"/>
      <c r="FO67" s="184"/>
      <c r="FP67" s="184"/>
      <c r="FQ67" s="184"/>
      <c r="FR67" s="184"/>
      <c r="FS67" s="184"/>
      <c r="FT67" s="184"/>
      <c r="FU67" s="184"/>
      <c r="FV67" s="184"/>
      <c r="FW67" s="184"/>
      <c r="FX67" s="184"/>
      <c r="FY67" s="184"/>
      <c r="FZ67" s="184"/>
      <c r="GA67" s="184"/>
      <c r="GB67" s="184"/>
      <c r="GC67" s="184"/>
      <c r="GD67" s="184"/>
      <c r="GE67" s="184"/>
      <c r="GF67" s="184"/>
      <c r="GG67" s="184"/>
      <c r="GH67" s="184"/>
      <c r="GI67" s="184"/>
      <c r="GJ67" s="184"/>
      <c r="GK67" s="184"/>
      <c r="GL67" s="184"/>
      <c r="GM67" s="184"/>
      <c r="GN67" s="184"/>
      <c r="GO67" s="184"/>
      <c r="GP67" s="184"/>
      <c r="GQ67" s="184"/>
      <c r="GR67" s="184"/>
      <c r="GS67" s="184"/>
      <c r="GT67" s="184"/>
      <c r="GU67" s="184"/>
      <c r="GV67" s="184"/>
      <c r="GW67" s="184"/>
      <c r="GX67" s="184"/>
      <c r="GY67" s="184"/>
      <c r="GZ67" s="184"/>
      <c r="HA67" s="184"/>
      <c r="HB67" s="184"/>
      <c r="HC67" s="184"/>
      <c r="HD67" s="184"/>
      <c r="HE67" s="184"/>
      <c r="HF67" s="184"/>
      <c r="HG67" s="184"/>
      <c r="HH67" s="184"/>
      <c r="HI67" s="184"/>
      <c r="HJ67" s="184"/>
      <c r="HK67" s="184"/>
      <c r="HL67" s="184"/>
      <c r="HM67" s="184"/>
      <c r="HN67" s="184"/>
      <c r="HO67" s="184"/>
      <c r="HP67" s="184"/>
      <c r="HQ67" s="184"/>
      <c r="HR67" s="184"/>
      <c r="HS67" s="184"/>
      <c r="HT67" s="184"/>
      <c r="HU67" s="184"/>
      <c r="HV67" s="184"/>
      <c r="HW67" s="184"/>
      <c r="HX67" s="184"/>
      <c r="HY67" s="184"/>
      <c r="HZ67" s="184"/>
      <c r="IA67" s="184"/>
      <c r="IB67" s="184"/>
      <c r="IC67" s="184"/>
      <c r="ID67" s="184"/>
      <c r="IE67" s="184"/>
      <c r="IF67" s="184"/>
      <c r="IG67" s="184"/>
      <c r="IH67" s="184"/>
      <c r="II67" s="184"/>
      <c r="IJ67" s="184"/>
      <c r="IK67" s="184"/>
      <c r="IL67" s="184"/>
      <c r="IM67" s="184"/>
      <c r="IN67" s="184"/>
      <c r="IO67" s="184"/>
      <c r="IP67" s="184"/>
      <c r="IQ67" s="184"/>
      <c r="IR67" s="184"/>
      <c r="IS67" s="184"/>
      <c r="IT67" s="184"/>
      <c r="IU67" s="184"/>
      <c r="IV67" s="184"/>
    </row>
    <row r="68" spans="1:40" ht="14.25" outlineLevel="2">
      <c r="A68" s="185" t="s">
        <v>194</v>
      </c>
      <c r="B68" s="351"/>
      <c r="C68" s="187"/>
      <c r="D68" s="647" t="s">
        <v>259</v>
      </c>
      <c r="E68" s="647"/>
      <c r="F68" s="647"/>
      <c r="G68" s="328">
        <f>'Zał.1_WPF_bazowy'!F68</f>
        <v>7726520.97</v>
      </c>
      <c r="H68" s="329">
        <f>'Zał.1_WPF_bazowy'!G68</f>
        <v>8175395.87</v>
      </c>
      <c r="I68" s="329">
        <f>'Zał.1_WPF_bazowy'!H68</f>
        <v>9331118</v>
      </c>
      <c r="J68" s="430">
        <f>'Zał.1_WPF_bazowy'!I68</f>
        <v>9036202.83</v>
      </c>
      <c r="K68" s="431">
        <f>+'Zał.1_WPF_bazowy'!J68</f>
        <v>9479822</v>
      </c>
      <c r="L68" s="432">
        <f>+'Zał.1_WPF_bazowy'!K68</f>
        <v>9740005.48</v>
      </c>
      <c r="M68" s="432">
        <f>+'Zał.1_WPF_bazowy'!L68</f>
        <v>10032205.64</v>
      </c>
      <c r="N68" s="432">
        <f>+'Zał.1_WPF_bazowy'!M68</f>
        <v>10433493.87</v>
      </c>
      <c r="O68" s="432">
        <f>+'Zał.1_WPF_bazowy'!N68</f>
        <v>10850833.62</v>
      </c>
      <c r="P68" s="432">
        <f>+'Zał.1_WPF_bazowy'!O68</f>
        <v>11284866.97</v>
      </c>
      <c r="Q68" s="432">
        <f>+'Zał.1_WPF_bazowy'!P68</f>
        <v>11736261.65</v>
      </c>
      <c r="R68" s="432">
        <f>+'Zał.1_WPF_bazowy'!Q68</f>
        <v>12205712.11</v>
      </c>
      <c r="S68" s="432">
        <f>+'Zał.1_WPF_bazowy'!R68</f>
        <v>0</v>
      </c>
      <c r="T68" s="432">
        <f>+'Zał.1_WPF_bazowy'!S68</f>
        <v>0</v>
      </c>
      <c r="U68" s="432">
        <f>+'Zał.1_WPF_bazowy'!T68</f>
        <v>0</v>
      </c>
      <c r="V68" s="432">
        <f>+'Zał.1_WPF_bazowy'!U68</f>
        <v>0</v>
      </c>
      <c r="W68" s="432">
        <f>+'Zał.1_WPF_bazowy'!V68</f>
        <v>0</v>
      </c>
      <c r="X68" s="432">
        <f>+'Zał.1_WPF_bazowy'!W68</f>
        <v>0</v>
      </c>
      <c r="Y68" s="432">
        <f>+'Zał.1_WPF_bazowy'!X68</f>
        <v>0</v>
      </c>
      <c r="Z68" s="432">
        <f>+'Zał.1_WPF_bazowy'!Y68</f>
        <v>0</v>
      </c>
      <c r="AA68" s="432">
        <f>+'Zał.1_WPF_bazowy'!Z68</f>
        <v>0</v>
      </c>
      <c r="AB68" s="432">
        <f>+'Zał.1_WPF_bazowy'!AA68</f>
        <v>0</v>
      </c>
      <c r="AC68" s="432">
        <f>+'Zał.1_WPF_bazowy'!AB68</f>
        <v>0</v>
      </c>
      <c r="AD68" s="432">
        <f>+'Zał.1_WPF_bazowy'!AC68</f>
        <v>0</v>
      </c>
      <c r="AE68" s="432">
        <f>+'Zał.1_WPF_bazowy'!AD68</f>
        <v>0</v>
      </c>
      <c r="AF68" s="432">
        <f>+'Zał.1_WPF_bazowy'!AE68</f>
        <v>0</v>
      </c>
      <c r="AG68" s="432">
        <f>+'Zał.1_WPF_bazowy'!AF68</f>
        <v>0</v>
      </c>
      <c r="AH68" s="432">
        <f>+'Zał.1_WPF_bazowy'!AG68</f>
        <v>0</v>
      </c>
      <c r="AI68" s="432">
        <f>+'Zał.1_WPF_bazowy'!AH68</f>
        <v>0</v>
      </c>
      <c r="AJ68" s="432">
        <f>+'Zał.1_WPF_bazowy'!AI68</f>
        <v>0</v>
      </c>
      <c r="AK68" s="432">
        <f>+'Zał.1_WPF_bazowy'!AJ68</f>
        <v>0</v>
      </c>
      <c r="AL68" s="432">
        <f>+'Zał.1_WPF_bazowy'!AK68</f>
        <v>0</v>
      </c>
      <c r="AM68" s="432">
        <f>+'Zał.1_WPF_bazowy'!AL68</f>
        <v>0</v>
      </c>
      <c r="AN68" s="433">
        <f>+'Zał.1_WPF_bazowy'!AM68</f>
        <v>0</v>
      </c>
    </row>
    <row r="69" spans="1:40" ht="24" customHeight="1" outlineLevel="2">
      <c r="A69" s="185" t="s">
        <v>195</v>
      </c>
      <c r="B69" s="351"/>
      <c r="C69" s="187"/>
      <c r="D69" s="647" t="s">
        <v>260</v>
      </c>
      <c r="E69" s="647"/>
      <c r="F69" s="647"/>
      <c r="G69" s="328">
        <f>'Zał.1_WPF_bazowy'!F69</f>
        <v>1825942.07</v>
      </c>
      <c r="H69" s="329">
        <f>'Zał.1_WPF_bazowy'!G69</f>
        <v>2071878.64</v>
      </c>
      <c r="I69" s="329">
        <f>'Zał.1_WPF_bazowy'!H69</f>
        <v>0</v>
      </c>
      <c r="J69" s="430">
        <f>'Zał.1_WPF_bazowy'!I69</f>
        <v>2189993.38</v>
      </c>
      <c r="K69" s="431">
        <f>+'Zał.1_WPF_bazowy'!J69</f>
        <v>2498406</v>
      </c>
      <c r="L69" s="432">
        <f>+'Zał.1_WPF_bazowy'!K69</f>
        <v>2513206.87</v>
      </c>
      <c r="M69" s="432">
        <f>+'Zał.1_WPF_bazowy'!L69</f>
        <v>2543365.35</v>
      </c>
      <c r="N69" s="432">
        <f>+'Zał.1_WPF_bazowy'!M69</f>
        <v>2645099.97</v>
      </c>
      <c r="O69" s="432">
        <f>+'Zał.1_WPF_bazowy'!N69</f>
        <v>2750903.97</v>
      </c>
      <c r="P69" s="432">
        <f>+'Zał.1_WPF_bazowy'!O69</f>
        <v>2860940.12</v>
      </c>
      <c r="Q69" s="432">
        <f>+'Zał.1_WPF_bazowy'!P69</f>
        <v>2975377.73</v>
      </c>
      <c r="R69" s="432">
        <f>+'Zał.1_WPF_bazowy'!Q69</f>
        <v>3094392.84</v>
      </c>
      <c r="S69" s="432">
        <f>+'Zał.1_WPF_bazowy'!R69</f>
        <v>0</v>
      </c>
      <c r="T69" s="432">
        <f>+'Zał.1_WPF_bazowy'!S69</f>
        <v>0</v>
      </c>
      <c r="U69" s="432">
        <f>+'Zał.1_WPF_bazowy'!T69</f>
        <v>0</v>
      </c>
      <c r="V69" s="432">
        <f>+'Zał.1_WPF_bazowy'!U69</f>
        <v>0</v>
      </c>
      <c r="W69" s="432">
        <f>+'Zał.1_WPF_bazowy'!V69</f>
        <v>0</v>
      </c>
      <c r="X69" s="432">
        <f>+'Zał.1_WPF_bazowy'!W69</f>
        <v>0</v>
      </c>
      <c r="Y69" s="432">
        <f>+'Zał.1_WPF_bazowy'!X69</f>
        <v>0</v>
      </c>
      <c r="Z69" s="432">
        <f>+'Zał.1_WPF_bazowy'!Y69</f>
        <v>0</v>
      </c>
      <c r="AA69" s="432">
        <f>+'Zał.1_WPF_bazowy'!Z69</f>
        <v>0</v>
      </c>
      <c r="AB69" s="432">
        <f>+'Zał.1_WPF_bazowy'!AA69</f>
        <v>0</v>
      </c>
      <c r="AC69" s="432">
        <f>+'Zał.1_WPF_bazowy'!AB69</f>
        <v>0</v>
      </c>
      <c r="AD69" s="432">
        <f>+'Zał.1_WPF_bazowy'!AC69</f>
        <v>0</v>
      </c>
      <c r="AE69" s="432">
        <f>+'Zał.1_WPF_bazowy'!AD69</f>
        <v>0</v>
      </c>
      <c r="AF69" s="432">
        <f>+'Zał.1_WPF_bazowy'!AE69</f>
        <v>0</v>
      </c>
      <c r="AG69" s="432">
        <f>+'Zał.1_WPF_bazowy'!AF69</f>
        <v>0</v>
      </c>
      <c r="AH69" s="432">
        <f>+'Zał.1_WPF_bazowy'!AG69</f>
        <v>0</v>
      </c>
      <c r="AI69" s="432">
        <f>+'Zał.1_WPF_bazowy'!AH69</f>
        <v>0</v>
      </c>
      <c r="AJ69" s="432">
        <f>+'Zał.1_WPF_bazowy'!AI69</f>
        <v>0</v>
      </c>
      <c r="AK69" s="432">
        <f>+'Zał.1_WPF_bazowy'!AJ69</f>
        <v>0</v>
      </c>
      <c r="AL69" s="432">
        <f>+'Zał.1_WPF_bazowy'!AK69</f>
        <v>0</v>
      </c>
      <c r="AM69" s="432">
        <f>+'Zał.1_WPF_bazowy'!AL69</f>
        <v>0</v>
      </c>
      <c r="AN69" s="433">
        <f>+'Zał.1_WPF_bazowy'!AM69</f>
        <v>0</v>
      </c>
    </row>
    <row r="70" spans="1:40" ht="14.25" outlineLevel="2">
      <c r="A70" s="185" t="s">
        <v>196</v>
      </c>
      <c r="B70" s="351" t="s">
        <v>444</v>
      </c>
      <c r="C70" s="187"/>
      <c r="D70" s="647" t="s">
        <v>263</v>
      </c>
      <c r="E70" s="647"/>
      <c r="F70" s="647"/>
      <c r="G70" s="328">
        <f>'Zał.1_WPF_bazowy'!F70</f>
        <v>0</v>
      </c>
      <c r="H70" s="329">
        <f>'Zał.1_WPF_bazowy'!G70</f>
        <v>1181194.11</v>
      </c>
      <c r="I70" s="329">
        <f>'Zał.1_WPF_bazowy'!H70</f>
        <v>2327042.52</v>
      </c>
      <c r="J70" s="238">
        <f>+J71+J72</f>
        <v>1719913.3199999998</v>
      </c>
      <c r="K70" s="236">
        <f>+K71+K72</f>
        <v>2301789.15</v>
      </c>
      <c r="L70" s="237">
        <f aca="true" t="shared" si="20" ref="L70:AN70">+L71+L72</f>
        <v>1006789.29</v>
      </c>
      <c r="M70" s="237">
        <f t="shared" si="20"/>
        <v>619721.8</v>
      </c>
      <c r="N70" s="237">
        <f t="shared" si="20"/>
        <v>700000</v>
      </c>
      <c r="O70" s="237">
        <f t="shared" si="20"/>
        <v>0</v>
      </c>
      <c r="P70" s="237">
        <f t="shared" si="20"/>
        <v>0</v>
      </c>
      <c r="Q70" s="237">
        <f t="shared" si="20"/>
        <v>0</v>
      </c>
      <c r="R70" s="237">
        <f t="shared" si="20"/>
        <v>0</v>
      </c>
      <c r="S70" s="237">
        <f t="shared" si="20"/>
        <v>0</v>
      </c>
      <c r="T70" s="237">
        <f t="shared" si="20"/>
        <v>0</v>
      </c>
      <c r="U70" s="237">
        <f t="shared" si="20"/>
        <v>0</v>
      </c>
      <c r="V70" s="237">
        <f t="shared" si="20"/>
        <v>0</v>
      </c>
      <c r="W70" s="237">
        <f t="shared" si="20"/>
        <v>0</v>
      </c>
      <c r="X70" s="237">
        <f t="shared" si="20"/>
        <v>0</v>
      </c>
      <c r="Y70" s="237">
        <f t="shared" si="20"/>
        <v>0</v>
      </c>
      <c r="Z70" s="237">
        <f t="shared" si="20"/>
        <v>0</v>
      </c>
      <c r="AA70" s="237">
        <f t="shared" si="20"/>
        <v>0</v>
      </c>
      <c r="AB70" s="237">
        <f t="shared" si="20"/>
        <v>0</v>
      </c>
      <c r="AC70" s="237">
        <f t="shared" si="20"/>
        <v>0</v>
      </c>
      <c r="AD70" s="237">
        <f t="shared" si="20"/>
        <v>0</v>
      </c>
      <c r="AE70" s="237">
        <f t="shared" si="20"/>
        <v>0</v>
      </c>
      <c r="AF70" s="237">
        <f t="shared" si="20"/>
        <v>0</v>
      </c>
      <c r="AG70" s="237">
        <f t="shared" si="20"/>
        <v>0</v>
      </c>
      <c r="AH70" s="237">
        <f t="shared" si="20"/>
        <v>0</v>
      </c>
      <c r="AI70" s="237">
        <f t="shared" si="20"/>
        <v>0</v>
      </c>
      <c r="AJ70" s="237">
        <f t="shared" si="20"/>
        <v>0</v>
      </c>
      <c r="AK70" s="237">
        <f t="shared" si="20"/>
        <v>0</v>
      </c>
      <c r="AL70" s="237">
        <f t="shared" si="20"/>
        <v>0</v>
      </c>
      <c r="AM70" s="237">
        <f t="shared" si="20"/>
        <v>0</v>
      </c>
      <c r="AN70" s="238">
        <f t="shared" si="20"/>
        <v>0</v>
      </c>
    </row>
    <row r="71" spans="1:40" ht="14.25" outlineLevel="2">
      <c r="A71" s="185" t="s">
        <v>121</v>
      </c>
      <c r="B71" s="351"/>
      <c r="C71" s="187"/>
      <c r="D71" s="188"/>
      <c r="E71" s="647" t="s">
        <v>261</v>
      </c>
      <c r="F71" s="647"/>
      <c r="G71" s="328">
        <f>'Zał.1_WPF_bazowy'!F71</f>
        <v>0</v>
      </c>
      <c r="H71" s="329">
        <f>'Zał.1_WPF_bazowy'!G71</f>
        <v>872755.56</v>
      </c>
      <c r="I71" s="329">
        <f>'Zał.1_WPF_bazowy'!H71</f>
        <v>1249082.52</v>
      </c>
      <c r="J71" s="430">
        <f>'Zał.1_WPF_bazowy'!I71</f>
        <v>1090480.13</v>
      </c>
      <c r="K71" s="431">
        <f>+'Zał.1_WPF_bazowy'!J71</f>
        <v>234789.15</v>
      </c>
      <c r="L71" s="432">
        <f>+'Zał.1_WPF_bazowy'!K71</f>
        <v>316789.29</v>
      </c>
      <c r="M71" s="432">
        <f>+'Zał.1_WPF_bazowy'!L71</f>
        <v>174221.8</v>
      </c>
      <c r="N71" s="432">
        <f>+'Zał.1_WPF_bazowy'!M71</f>
        <v>0</v>
      </c>
      <c r="O71" s="432">
        <f>+'Zał.1_WPF_bazowy'!N71</f>
        <v>0</v>
      </c>
      <c r="P71" s="432">
        <f>+'Zał.1_WPF_bazowy'!O71</f>
        <v>0</v>
      </c>
      <c r="Q71" s="432">
        <f>+'Zał.1_WPF_bazowy'!P71</f>
        <v>0</v>
      </c>
      <c r="R71" s="432">
        <f>+'Zał.1_WPF_bazowy'!Q71</f>
        <v>0</v>
      </c>
      <c r="S71" s="432">
        <f>+'Zał.1_WPF_bazowy'!R71</f>
        <v>0</v>
      </c>
      <c r="T71" s="432">
        <f>+'Zał.1_WPF_bazowy'!S71</f>
        <v>0</v>
      </c>
      <c r="U71" s="432">
        <f>+'Zał.1_WPF_bazowy'!T71</f>
        <v>0</v>
      </c>
      <c r="V71" s="432">
        <f>+'Zał.1_WPF_bazowy'!U71</f>
        <v>0</v>
      </c>
      <c r="W71" s="432">
        <f>+'Zał.1_WPF_bazowy'!V71</f>
        <v>0</v>
      </c>
      <c r="X71" s="432">
        <f>+'Zał.1_WPF_bazowy'!W71</f>
        <v>0</v>
      </c>
      <c r="Y71" s="432">
        <f>+'Zał.1_WPF_bazowy'!X71</f>
        <v>0</v>
      </c>
      <c r="Z71" s="432">
        <f>+'Zał.1_WPF_bazowy'!Y71</f>
        <v>0</v>
      </c>
      <c r="AA71" s="432">
        <f>+'Zał.1_WPF_bazowy'!Z71</f>
        <v>0</v>
      </c>
      <c r="AB71" s="432">
        <f>+'Zał.1_WPF_bazowy'!AA71</f>
        <v>0</v>
      </c>
      <c r="AC71" s="432">
        <f>+'Zał.1_WPF_bazowy'!AB71</f>
        <v>0</v>
      </c>
      <c r="AD71" s="432">
        <f>+'Zał.1_WPF_bazowy'!AC71</f>
        <v>0</v>
      </c>
      <c r="AE71" s="432">
        <f>+'Zał.1_WPF_bazowy'!AD71</f>
        <v>0</v>
      </c>
      <c r="AF71" s="432">
        <f>+'Zał.1_WPF_bazowy'!AE71</f>
        <v>0</v>
      </c>
      <c r="AG71" s="432">
        <f>+'Zał.1_WPF_bazowy'!AF71</f>
        <v>0</v>
      </c>
      <c r="AH71" s="432">
        <f>+'Zał.1_WPF_bazowy'!AG71</f>
        <v>0</v>
      </c>
      <c r="AI71" s="432">
        <f>+'Zał.1_WPF_bazowy'!AH71</f>
        <v>0</v>
      </c>
      <c r="AJ71" s="432">
        <f>+'Zał.1_WPF_bazowy'!AI71</f>
        <v>0</v>
      </c>
      <c r="AK71" s="432">
        <f>+'Zał.1_WPF_bazowy'!AJ71</f>
        <v>0</v>
      </c>
      <c r="AL71" s="432">
        <f>+'Zał.1_WPF_bazowy'!AK71</f>
        <v>0</v>
      </c>
      <c r="AM71" s="432">
        <f>+'Zał.1_WPF_bazowy'!AL71</f>
        <v>0</v>
      </c>
      <c r="AN71" s="433">
        <f>+'Zał.1_WPF_bazowy'!AM71</f>
        <v>0</v>
      </c>
    </row>
    <row r="72" spans="1:40" ht="14.25" outlineLevel="2">
      <c r="A72" s="185" t="s">
        <v>123</v>
      </c>
      <c r="B72" s="351"/>
      <c r="C72" s="187"/>
      <c r="D72" s="188"/>
      <c r="E72" s="647" t="s">
        <v>262</v>
      </c>
      <c r="F72" s="647"/>
      <c r="G72" s="328">
        <f>'Zał.1_WPF_bazowy'!F72</f>
        <v>0</v>
      </c>
      <c r="H72" s="329">
        <f>'Zał.1_WPF_bazowy'!G72</f>
        <v>308438.55</v>
      </c>
      <c r="I72" s="329">
        <f>'Zał.1_WPF_bazowy'!H72</f>
        <v>1077960</v>
      </c>
      <c r="J72" s="430">
        <f>'Zał.1_WPF_bazowy'!I72</f>
        <v>629433.19</v>
      </c>
      <c r="K72" s="431">
        <f>+'Zał.1_WPF_bazowy'!J72</f>
        <v>2067000</v>
      </c>
      <c r="L72" s="432">
        <f>+'Zał.1_WPF_bazowy'!K72</f>
        <v>690000</v>
      </c>
      <c r="M72" s="432">
        <f>+'Zał.1_WPF_bazowy'!L72</f>
        <v>445500</v>
      </c>
      <c r="N72" s="432">
        <f>+'Zał.1_WPF_bazowy'!M72</f>
        <v>700000</v>
      </c>
      <c r="O72" s="432">
        <f>+'Zał.1_WPF_bazowy'!N72</f>
        <v>0</v>
      </c>
      <c r="P72" s="432">
        <f>+'Zał.1_WPF_bazowy'!O72</f>
        <v>0</v>
      </c>
      <c r="Q72" s="432">
        <f>+'Zał.1_WPF_bazowy'!P72</f>
        <v>0</v>
      </c>
      <c r="R72" s="432">
        <f>+'Zał.1_WPF_bazowy'!Q72</f>
        <v>0</v>
      </c>
      <c r="S72" s="432">
        <f>+'Zał.1_WPF_bazowy'!R72</f>
        <v>0</v>
      </c>
      <c r="T72" s="432">
        <f>+'Zał.1_WPF_bazowy'!S72</f>
        <v>0</v>
      </c>
      <c r="U72" s="432">
        <f>+'Zał.1_WPF_bazowy'!T72</f>
        <v>0</v>
      </c>
      <c r="V72" s="432">
        <f>+'Zał.1_WPF_bazowy'!U72</f>
        <v>0</v>
      </c>
      <c r="W72" s="432">
        <f>+'Zał.1_WPF_bazowy'!V72</f>
        <v>0</v>
      </c>
      <c r="X72" s="432">
        <f>+'Zał.1_WPF_bazowy'!W72</f>
        <v>0</v>
      </c>
      <c r="Y72" s="432">
        <f>+'Zał.1_WPF_bazowy'!X72</f>
        <v>0</v>
      </c>
      <c r="Z72" s="432">
        <f>+'Zał.1_WPF_bazowy'!Y72</f>
        <v>0</v>
      </c>
      <c r="AA72" s="432">
        <f>+'Zał.1_WPF_bazowy'!Z72</f>
        <v>0</v>
      </c>
      <c r="AB72" s="432">
        <f>+'Zał.1_WPF_bazowy'!AA72</f>
        <v>0</v>
      </c>
      <c r="AC72" s="432">
        <f>+'Zał.1_WPF_bazowy'!AB72</f>
        <v>0</v>
      </c>
      <c r="AD72" s="432">
        <f>+'Zał.1_WPF_bazowy'!AC72</f>
        <v>0</v>
      </c>
      <c r="AE72" s="432">
        <f>+'Zał.1_WPF_bazowy'!AD72</f>
        <v>0</v>
      </c>
      <c r="AF72" s="432">
        <f>+'Zał.1_WPF_bazowy'!AE72</f>
        <v>0</v>
      </c>
      <c r="AG72" s="432">
        <f>+'Zał.1_WPF_bazowy'!AF72</f>
        <v>0</v>
      </c>
      <c r="AH72" s="432">
        <f>+'Zał.1_WPF_bazowy'!AG72</f>
        <v>0</v>
      </c>
      <c r="AI72" s="432">
        <f>+'Zał.1_WPF_bazowy'!AH72</f>
        <v>0</v>
      </c>
      <c r="AJ72" s="432">
        <f>+'Zał.1_WPF_bazowy'!AI72</f>
        <v>0</v>
      </c>
      <c r="AK72" s="432">
        <f>+'Zał.1_WPF_bazowy'!AJ72</f>
        <v>0</v>
      </c>
      <c r="AL72" s="432">
        <f>+'Zał.1_WPF_bazowy'!AK72</f>
        <v>0</v>
      </c>
      <c r="AM72" s="432">
        <f>+'Zał.1_WPF_bazowy'!AL72</f>
        <v>0</v>
      </c>
      <c r="AN72" s="433">
        <f>+'Zał.1_WPF_bazowy'!AM72</f>
        <v>0</v>
      </c>
    </row>
    <row r="73" spans="1:40" ht="14.25" outlineLevel="2">
      <c r="A73" s="185" t="s">
        <v>197</v>
      </c>
      <c r="B73" s="351"/>
      <c r="C73" s="187"/>
      <c r="D73" s="647" t="s">
        <v>264</v>
      </c>
      <c r="E73" s="647"/>
      <c r="F73" s="647"/>
      <c r="G73" s="328">
        <f>'Zał.1_WPF_bazowy'!F73</f>
        <v>2653876.37</v>
      </c>
      <c r="H73" s="329">
        <f>'Zał.1_WPF_bazowy'!G73</f>
        <v>95488</v>
      </c>
      <c r="I73" s="329">
        <f>'Zał.1_WPF_bazowy'!H73</f>
        <v>495460</v>
      </c>
      <c r="J73" s="430">
        <f>'Zał.1_WPF_bazowy'!I73</f>
        <v>439480.09</v>
      </c>
      <c r="K73" s="431">
        <f>+'Zał.1_WPF_bazowy'!J73</f>
        <v>2067000</v>
      </c>
      <c r="L73" s="432">
        <f>+'Zał.1_WPF_bazowy'!K73</f>
        <v>690000</v>
      </c>
      <c r="M73" s="432">
        <f>+'Zał.1_WPF_bazowy'!L73</f>
        <v>445500</v>
      </c>
      <c r="N73" s="432">
        <f>+'Zał.1_WPF_bazowy'!M73</f>
        <v>700000</v>
      </c>
      <c r="O73" s="432">
        <f>+'Zał.1_WPF_bazowy'!N73</f>
        <v>0</v>
      </c>
      <c r="P73" s="432">
        <f>+'Zał.1_WPF_bazowy'!O73</f>
        <v>0</v>
      </c>
      <c r="Q73" s="432">
        <f>+'Zał.1_WPF_bazowy'!P73</f>
        <v>0</v>
      </c>
      <c r="R73" s="432">
        <f>+'Zał.1_WPF_bazowy'!Q73</f>
        <v>0</v>
      </c>
      <c r="S73" s="432">
        <f>+'Zał.1_WPF_bazowy'!R73</f>
        <v>0</v>
      </c>
      <c r="T73" s="432">
        <f>+'Zał.1_WPF_bazowy'!S73</f>
        <v>0</v>
      </c>
      <c r="U73" s="432">
        <f>+'Zał.1_WPF_bazowy'!T73</f>
        <v>0</v>
      </c>
      <c r="V73" s="432">
        <f>+'Zał.1_WPF_bazowy'!U73</f>
        <v>0</v>
      </c>
      <c r="W73" s="432">
        <f>+'Zał.1_WPF_bazowy'!V73</f>
        <v>0</v>
      </c>
      <c r="X73" s="432">
        <f>+'Zał.1_WPF_bazowy'!W73</f>
        <v>0</v>
      </c>
      <c r="Y73" s="432">
        <f>+'Zał.1_WPF_bazowy'!X73</f>
        <v>0</v>
      </c>
      <c r="Z73" s="432">
        <f>+'Zał.1_WPF_bazowy'!Y73</f>
        <v>0</v>
      </c>
      <c r="AA73" s="432">
        <f>+'Zał.1_WPF_bazowy'!Z73</f>
        <v>0</v>
      </c>
      <c r="AB73" s="432">
        <f>+'Zał.1_WPF_bazowy'!AA73</f>
        <v>0</v>
      </c>
      <c r="AC73" s="432">
        <f>+'Zał.1_WPF_bazowy'!AB73</f>
        <v>0</v>
      </c>
      <c r="AD73" s="432">
        <f>+'Zał.1_WPF_bazowy'!AC73</f>
        <v>0</v>
      </c>
      <c r="AE73" s="432">
        <f>+'Zał.1_WPF_bazowy'!AD73</f>
        <v>0</v>
      </c>
      <c r="AF73" s="432">
        <f>+'Zał.1_WPF_bazowy'!AE73</f>
        <v>0</v>
      </c>
      <c r="AG73" s="432">
        <f>+'Zał.1_WPF_bazowy'!AF73</f>
        <v>0</v>
      </c>
      <c r="AH73" s="432">
        <f>+'Zał.1_WPF_bazowy'!AG73</f>
        <v>0</v>
      </c>
      <c r="AI73" s="432">
        <f>+'Zał.1_WPF_bazowy'!AH73</f>
        <v>0</v>
      </c>
      <c r="AJ73" s="432">
        <f>+'Zał.1_WPF_bazowy'!AI73</f>
        <v>0</v>
      </c>
      <c r="AK73" s="432">
        <f>+'Zał.1_WPF_bazowy'!AJ73</f>
        <v>0</v>
      </c>
      <c r="AL73" s="432">
        <f>+'Zał.1_WPF_bazowy'!AK73</f>
        <v>0</v>
      </c>
      <c r="AM73" s="432">
        <f>+'Zał.1_WPF_bazowy'!AL73</f>
        <v>0</v>
      </c>
      <c r="AN73" s="433">
        <f>+'Zał.1_WPF_bazowy'!AM73</f>
        <v>0</v>
      </c>
    </row>
    <row r="74" spans="1:40" ht="14.25" outlineLevel="2">
      <c r="A74" s="185" t="s">
        <v>198</v>
      </c>
      <c r="B74" s="351"/>
      <c r="C74" s="187"/>
      <c r="D74" s="647" t="s">
        <v>265</v>
      </c>
      <c r="E74" s="647"/>
      <c r="F74" s="647"/>
      <c r="G74" s="328">
        <f>'Zał.1_WPF_bazowy'!F74</f>
        <v>628882.29</v>
      </c>
      <c r="H74" s="329">
        <f>'Zał.1_WPF_bazowy'!G74</f>
        <v>1304955.32</v>
      </c>
      <c r="I74" s="329">
        <f>'Zał.1_WPF_bazowy'!H74</f>
        <v>1244490</v>
      </c>
      <c r="J74" s="430">
        <f>'Zał.1_WPF_bazowy'!I74</f>
        <v>717735.92</v>
      </c>
      <c r="K74" s="431">
        <f>+'Zał.1_WPF_bazowy'!J74</f>
        <v>332000</v>
      </c>
      <c r="L74" s="432">
        <f>+'Zał.1_WPF_bazowy'!K74</f>
        <v>670000</v>
      </c>
      <c r="M74" s="432">
        <f>+'Zał.1_WPF_bazowy'!L74</f>
        <v>834015.26</v>
      </c>
      <c r="N74" s="432">
        <f>+'Zał.1_WPF_bazowy'!M74</f>
        <v>438724.11</v>
      </c>
      <c r="O74" s="432">
        <f>+'Zał.1_WPF_bazowy'!N74</f>
        <v>1124026.25</v>
      </c>
      <c r="P74" s="432">
        <f>+'Zał.1_WPF_bazowy'!O74</f>
        <v>1257551.86</v>
      </c>
      <c r="Q74" s="432">
        <f>+'Zał.1_WPF_bazowy'!P74</f>
        <v>1541115.87</v>
      </c>
      <c r="R74" s="432">
        <f>+'Zał.1_WPF_bazowy'!Q74</f>
        <v>2383511.51</v>
      </c>
      <c r="S74" s="432">
        <f>+'Zał.1_WPF_bazowy'!R74</f>
        <v>0</v>
      </c>
      <c r="T74" s="432">
        <f>+'Zał.1_WPF_bazowy'!S74</f>
        <v>0</v>
      </c>
      <c r="U74" s="432">
        <f>+'Zał.1_WPF_bazowy'!T74</f>
        <v>0</v>
      </c>
      <c r="V74" s="432">
        <f>+'Zał.1_WPF_bazowy'!U74</f>
        <v>0</v>
      </c>
      <c r="W74" s="432">
        <f>+'Zał.1_WPF_bazowy'!V74</f>
        <v>0</v>
      </c>
      <c r="X74" s="432">
        <f>+'Zał.1_WPF_bazowy'!W74</f>
        <v>0</v>
      </c>
      <c r="Y74" s="432">
        <f>+'Zał.1_WPF_bazowy'!X74</f>
        <v>0</v>
      </c>
      <c r="Z74" s="432">
        <f>+'Zał.1_WPF_bazowy'!Y74</f>
        <v>0</v>
      </c>
      <c r="AA74" s="432">
        <f>+'Zał.1_WPF_bazowy'!Z74</f>
        <v>0</v>
      </c>
      <c r="AB74" s="432">
        <f>+'Zał.1_WPF_bazowy'!AA74</f>
        <v>0</v>
      </c>
      <c r="AC74" s="432">
        <f>+'Zał.1_WPF_bazowy'!AB74</f>
        <v>0</v>
      </c>
      <c r="AD74" s="432">
        <f>+'Zał.1_WPF_bazowy'!AC74</f>
        <v>0</v>
      </c>
      <c r="AE74" s="432">
        <f>+'Zał.1_WPF_bazowy'!AD74</f>
        <v>0</v>
      </c>
      <c r="AF74" s="432">
        <f>+'Zał.1_WPF_bazowy'!AE74</f>
        <v>0</v>
      </c>
      <c r="AG74" s="432">
        <f>+'Zał.1_WPF_bazowy'!AF74</f>
        <v>0</v>
      </c>
      <c r="AH74" s="432">
        <f>+'Zał.1_WPF_bazowy'!AG74</f>
        <v>0</v>
      </c>
      <c r="AI74" s="432">
        <f>+'Zał.1_WPF_bazowy'!AH74</f>
        <v>0</v>
      </c>
      <c r="AJ74" s="432">
        <f>+'Zał.1_WPF_bazowy'!AI74</f>
        <v>0</v>
      </c>
      <c r="AK74" s="432">
        <f>+'Zał.1_WPF_bazowy'!AJ74</f>
        <v>0</v>
      </c>
      <c r="AL74" s="432">
        <f>+'Zał.1_WPF_bazowy'!AK74</f>
        <v>0</v>
      </c>
      <c r="AM74" s="432">
        <f>+'Zał.1_WPF_bazowy'!AL74</f>
        <v>0</v>
      </c>
      <c r="AN74" s="433">
        <f>+'Zał.1_WPF_bazowy'!AM74</f>
        <v>0</v>
      </c>
    </row>
    <row r="75" spans="1:40" ht="14.25" outlineLevel="2">
      <c r="A75" s="185" t="s">
        <v>199</v>
      </c>
      <c r="B75" s="351"/>
      <c r="C75" s="187"/>
      <c r="D75" s="647" t="s">
        <v>266</v>
      </c>
      <c r="E75" s="647"/>
      <c r="F75" s="647"/>
      <c r="G75" s="328">
        <f>'Zał.1_WPF_bazowy'!F75</f>
        <v>0</v>
      </c>
      <c r="H75" s="329">
        <f>'Zał.1_WPF_bazowy'!G75</f>
        <v>30000</v>
      </c>
      <c r="I75" s="329">
        <f>'Zał.1_WPF_bazowy'!H75</f>
        <v>15000</v>
      </c>
      <c r="J75" s="430">
        <f>'Zał.1_WPF_bazowy'!I75</f>
        <v>15000</v>
      </c>
      <c r="K75" s="431">
        <f>+'Zał.1_WPF_bazowy'!J75</f>
        <v>105000</v>
      </c>
      <c r="L75" s="432">
        <f>+'Zał.1_WPF_bazowy'!K75</f>
        <v>0</v>
      </c>
      <c r="M75" s="432">
        <f>+'Zał.1_WPF_bazowy'!L75</f>
        <v>0</v>
      </c>
      <c r="N75" s="432">
        <f>+'Zał.1_WPF_bazowy'!M75</f>
        <v>0</v>
      </c>
      <c r="O75" s="432">
        <f>+'Zał.1_WPF_bazowy'!N75</f>
        <v>0</v>
      </c>
      <c r="P75" s="432">
        <f>+'Zał.1_WPF_bazowy'!O75</f>
        <v>0</v>
      </c>
      <c r="Q75" s="432">
        <f>+'Zał.1_WPF_bazowy'!P75</f>
        <v>0</v>
      </c>
      <c r="R75" s="432">
        <f>+'Zał.1_WPF_bazowy'!Q75</f>
        <v>0</v>
      </c>
      <c r="S75" s="432">
        <f>+'Zał.1_WPF_bazowy'!R75</f>
        <v>0</v>
      </c>
      <c r="T75" s="432">
        <f>+'Zał.1_WPF_bazowy'!S75</f>
        <v>0</v>
      </c>
      <c r="U75" s="432">
        <f>+'Zał.1_WPF_bazowy'!T75</f>
        <v>0</v>
      </c>
      <c r="V75" s="432">
        <f>+'Zał.1_WPF_bazowy'!U75</f>
        <v>0</v>
      </c>
      <c r="W75" s="432">
        <f>+'Zał.1_WPF_bazowy'!V75</f>
        <v>0</v>
      </c>
      <c r="X75" s="432">
        <f>+'Zał.1_WPF_bazowy'!W75</f>
        <v>0</v>
      </c>
      <c r="Y75" s="432">
        <f>+'Zał.1_WPF_bazowy'!X75</f>
        <v>0</v>
      </c>
      <c r="Z75" s="432">
        <f>+'Zał.1_WPF_bazowy'!Y75</f>
        <v>0</v>
      </c>
      <c r="AA75" s="432">
        <f>+'Zał.1_WPF_bazowy'!Z75</f>
        <v>0</v>
      </c>
      <c r="AB75" s="432">
        <f>+'Zał.1_WPF_bazowy'!AA75</f>
        <v>0</v>
      </c>
      <c r="AC75" s="432">
        <f>+'Zał.1_WPF_bazowy'!AB75</f>
        <v>0</v>
      </c>
      <c r="AD75" s="432">
        <f>+'Zał.1_WPF_bazowy'!AC75</f>
        <v>0</v>
      </c>
      <c r="AE75" s="432">
        <f>+'Zał.1_WPF_bazowy'!AD75</f>
        <v>0</v>
      </c>
      <c r="AF75" s="432">
        <f>+'Zał.1_WPF_bazowy'!AE75</f>
        <v>0</v>
      </c>
      <c r="AG75" s="432">
        <f>+'Zał.1_WPF_bazowy'!AF75</f>
        <v>0</v>
      </c>
      <c r="AH75" s="432">
        <f>+'Zał.1_WPF_bazowy'!AG75</f>
        <v>0</v>
      </c>
      <c r="AI75" s="432">
        <f>+'Zał.1_WPF_bazowy'!AH75</f>
        <v>0</v>
      </c>
      <c r="AJ75" s="432">
        <f>+'Zał.1_WPF_bazowy'!AI75</f>
        <v>0</v>
      </c>
      <c r="AK75" s="432">
        <f>+'Zał.1_WPF_bazowy'!AJ75</f>
        <v>0</v>
      </c>
      <c r="AL75" s="432">
        <f>+'Zał.1_WPF_bazowy'!AK75</f>
        <v>0</v>
      </c>
      <c r="AM75" s="432">
        <f>+'Zał.1_WPF_bazowy'!AL75</f>
        <v>0</v>
      </c>
      <c r="AN75" s="433">
        <f>+'Zał.1_WPF_bazowy'!AM75</f>
        <v>0</v>
      </c>
    </row>
    <row r="76" spans="1:40" s="184" customFormat="1" ht="24" customHeight="1" outlineLevel="1">
      <c r="A76" s="183">
        <v>12</v>
      </c>
      <c r="B76" s="350"/>
      <c r="C76" s="648" t="s">
        <v>128</v>
      </c>
      <c r="D76" s="649"/>
      <c r="E76" s="649"/>
      <c r="F76" s="649"/>
      <c r="G76" s="334" t="s">
        <v>31</v>
      </c>
      <c r="H76" s="335" t="s">
        <v>31</v>
      </c>
      <c r="I76" s="335" t="s">
        <v>31</v>
      </c>
      <c r="J76" s="442" t="s">
        <v>31</v>
      </c>
      <c r="K76" s="443" t="s">
        <v>31</v>
      </c>
      <c r="L76" s="444" t="s">
        <v>31</v>
      </c>
      <c r="M76" s="444" t="s">
        <v>31</v>
      </c>
      <c r="N76" s="444" t="s">
        <v>31</v>
      </c>
      <c r="O76" s="444" t="s">
        <v>31</v>
      </c>
      <c r="P76" s="444" t="s">
        <v>31</v>
      </c>
      <c r="Q76" s="444" t="s">
        <v>31</v>
      </c>
      <c r="R76" s="444" t="s">
        <v>31</v>
      </c>
      <c r="S76" s="444" t="s">
        <v>31</v>
      </c>
      <c r="T76" s="444" t="s">
        <v>31</v>
      </c>
      <c r="U76" s="444" t="s">
        <v>31</v>
      </c>
      <c r="V76" s="444" t="s">
        <v>31</v>
      </c>
      <c r="W76" s="444" t="s">
        <v>31</v>
      </c>
      <c r="X76" s="444" t="s">
        <v>31</v>
      </c>
      <c r="Y76" s="444" t="s">
        <v>31</v>
      </c>
      <c r="Z76" s="444" t="s">
        <v>31</v>
      </c>
      <c r="AA76" s="444" t="s">
        <v>31</v>
      </c>
      <c r="AB76" s="444" t="s">
        <v>31</v>
      </c>
      <c r="AC76" s="444" t="s">
        <v>31</v>
      </c>
      <c r="AD76" s="444" t="s">
        <v>31</v>
      </c>
      <c r="AE76" s="444" t="s">
        <v>31</v>
      </c>
      <c r="AF76" s="444" t="s">
        <v>31</v>
      </c>
      <c r="AG76" s="444" t="s">
        <v>31</v>
      </c>
      <c r="AH76" s="444" t="s">
        <v>31</v>
      </c>
      <c r="AI76" s="444" t="s">
        <v>31</v>
      </c>
      <c r="AJ76" s="444" t="s">
        <v>31</v>
      </c>
      <c r="AK76" s="444" t="s">
        <v>31</v>
      </c>
      <c r="AL76" s="444" t="s">
        <v>31</v>
      </c>
      <c r="AM76" s="444" t="s">
        <v>31</v>
      </c>
      <c r="AN76" s="445" t="s">
        <v>31</v>
      </c>
    </row>
    <row r="77" spans="1:40" ht="24" customHeight="1" outlineLevel="2">
      <c r="A77" s="185" t="s">
        <v>200</v>
      </c>
      <c r="B77" s="351"/>
      <c r="C77" s="187"/>
      <c r="D77" s="647" t="s">
        <v>267</v>
      </c>
      <c r="E77" s="647"/>
      <c r="F77" s="647"/>
      <c r="G77" s="328">
        <f>'Zał.1_WPF_bazowy'!F77</f>
        <v>110091.68</v>
      </c>
      <c r="H77" s="329">
        <f>'Zał.1_WPF_bazowy'!G77</f>
        <v>198689.69</v>
      </c>
      <c r="I77" s="329">
        <f>'Zał.1_WPF_bazowy'!H77</f>
        <v>308457.4</v>
      </c>
      <c r="J77" s="430">
        <f>'Zał.1_WPF_bazowy'!I77</f>
        <v>292199.16</v>
      </c>
      <c r="K77" s="431">
        <f>+'Zał.1_WPF_bazowy'!J77</f>
        <v>544163.79</v>
      </c>
      <c r="L77" s="432">
        <f>+'Zał.1_WPF_bazowy'!K77</f>
        <v>241528.18</v>
      </c>
      <c r="M77" s="432">
        <f>+'Zał.1_WPF_bazowy'!L77</f>
        <v>159229.52</v>
      </c>
      <c r="N77" s="432">
        <f>+'Zał.1_WPF_bazowy'!M77</f>
        <v>0</v>
      </c>
      <c r="O77" s="432">
        <f>+'Zał.1_WPF_bazowy'!N77</f>
        <v>0</v>
      </c>
      <c r="P77" s="432">
        <f>+'Zał.1_WPF_bazowy'!O77</f>
        <v>0</v>
      </c>
      <c r="Q77" s="432">
        <f>+'Zał.1_WPF_bazowy'!P77</f>
        <v>0</v>
      </c>
      <c r="R77" s="432">
        <f>+'Zał.1_WPF_bazowy'!Q77</f>
        <v>0</v>
      </c>
      <c r="S77" s="432">
        <f>+'Zał.1_WPF_bazowy'!R77</f>
        <v>0</v>
      </c>
      <c r="T77" s="432">
        <f>+'Zał.1_WPF_bazowy'!S77</f>
        <v>0</v>
      </c>
      <c r="U77" s="432">
        <f>+'Zał.1_WPF_bazowy'!T77</f>
        <v>0</v>
      </c>
      <c r="V77" s="432">
        <f>+'Zał.1_WPF_bazowy'!U77</f>
        <v>0</v>
      </c>
      <c r="W77" s="432">
        <f>+'Zał.1_WPF_bazowy'!V77</f>
        <v>0</v>
      </c>
      <c r="X77" s="432">
        <f>+'Zał.1_WPF_bazowy'!W77</f>
        <v>0</v>
      </c>
      <c r="Y77" s="432">
        <f>+'Zał.1_WPF_bazowy'!X77</f>
        <v>0</v>
      </c>
      <c r="Z77" s="432">
        <f>+'Zał.1_WPF_bazowy'!Y77</f>
        <v>0</v>
      </c>
      <c r="AA77" s="432">
        <f>+'Zał.1_WPF_bazowy'!Z77</f>
        <v>0</v>
      </c>
      <c r="AB77" s="432">
        <f>+'Zał.1_WPF_bazowy'!AA77</f>
        <v>0</v>
      </c>
      <c r="AC77" s="432">
        <f>+'Zał.1_WPF_bazowy'!AB77</f>
        <v>0</v>
      </c>
      <c r="AD77" s="432">
        <f>+'Zał.1_WPF_bazowy'!AC77</f>
        <v>0</v>
      </c>
      <c r="AE77" s="432">
        <f>+'Zał.1_WPF_bazowy'!AD77</f>
        <v>0</v>
      </c>
      <c r="AF77" s="432">
        <f>+'Zał.1_WPF_bazowy'!AE77</f>
        <v>0</v>
      </c>
      <c r="AG77" s="432">
        <f>+'Zał.1_WPF_bazowy'!AF77</f>
        <v>0</v>
      </c>
      <c r="AH77" s="432">
        <f>+'Zał.1_WPF_bazowy'!AG77</f>
        <v>0</v>
      </c>
      <c r="AI77" s="432">
        <f>+'Zał.1_WPF_bazowy'!AH77</f>
        <v>0</v>
      </c>
      <c r="AJ77" s="432">
        <f>+'Zał.1_WPF_bazowy'!AI77</f>
        <v>0</v>
      </c>
      <c r="AK77" s="432">
        <f>+'Zał.1_WPF_bazowy'!AJ77</f>
        <v>0</v>
      </c>
      <c r="AL77" s="432">
        <f>+'Zał.1_WPF_bazowy'!AK77</f>
        <v>0</v>
      </c>
      <c r="AM77" s="432">
        <f>+'Zał.1_WPF_bazowy'!AL77</f>
        <v>0</v>
      </c>
      <c r="AN77" s="433">
        <f>+'Zał.1_WPF_bazowy'!AM77</f>
        <v>0</v>
      </c>
    </row>
    <row r="78" spans="1:40" ht="14.25" outlineLevel="2">
      <c r="A78" s="185" t="s">
        <v>130</v>
      </c>
      <c r="B78" s="351"/>
      <c r="C78" s="187"/>
      <c r="D78" s="188"/>
      <c r="E78" s="647" t="s">
        <v>268</v>
      </c>
      <c r="F78" s="647"/>
      <c r="G78" s="328">
        <f>'Zał.1_WPF_bazowy'!F78</f>
        <v>110091.68</v>
      </c>
      <c r="H78" s="329">
        <f>'Zał.1_WPF_bazowy'!G78</f>
        <v>198689.69</v>
      </c>
      <c r="I78" s="329">
        <f>'Zał.1_WPF_bazowy'!H78</f>
        <v>308457.4</v>
      </c>
      <c r="J78" s="430">
        <f>'Zał.1_WPF_bazowy'!I78</f>
        <v>292199.16</v>
      </c>
      <c r="K78" s="431">
        <f>+'Zał.1_WPF_bazowy'!J78</f>
        <v>338741.01</v>
      </c>
      <c r="L78" s="432">
        <f>+'Zał.1_WPF_bazowy'!K78</f>
        <v>241528.18</v>
      </c>
      <c r="M78" s="432">
        <f>+'Zał.1_WPF_bazowy'!L78</f>
        <v>159229.52</v>
      </c>
      <c r="N78" s="432">
        <f>+'Zał.1_WPF_bazowy'!M78</f>
        <v>0</v>
      </c>
      <c r="O78" s="432">
        <f>+'Zał.1_WPF_bazowy'!N78</f>
        <v>0</v>
      </c>
      <c r="P78" s="432">
        <f>+'Zał.1_WPF_bazowy'!O78</f>
        <v>0</v>
      </c>
      <c r="Q78" s="432">
        <f>+'Zał.1_WPF_bazowy'!P78</f>
        <v>0</v>
      </c>
      <c r="R78" s="432">
        <f>+'Zał.1_WPF_bazowy'!Q78</f>
        <v>0</v>
      </c>
      <c r="S78" s="432">
        <f>+'Zał.1_WPF_bazowy'!R78</f>
        <v>0</v>
      </c>
      <c r="T78" s="432">
        <f>+'Zał.1_WPF_bazowy'!S78</f>
        <v>0</v>
      </c>
      <c r="U78" s="432">
        <f>+'Zał.1_WPF_bazowy'!T78</f>
        <v>0</v>
      </c>
      <c r="V78" s="432">
        <f>+'Zał.1_WPF_bazowy'!U78</f>
        <v>0</v>
      </c>
      <c r="W78" s="432">
        <f>+'Zał.1_WPF_bazowy'!V78</f>
        <v>0</v>
      </c>
      <c r="X78" s="432">
        <f>+'Zał.1_WPF_bazowy'!W78</f>
        <v>0</v>
      </c>
      <c r="Y78" s="432">
        <f>+'Zał.1_WPF_bazowy'!X78</f>
        <v>0</v>
      </c>
      <c r="Z78" s="432">
        <f>+'Zał.1_WPF_bazowy'!Y78</f>
        <v>0</v>
      </c>
      <c r="AA78" s="432">
        <f>+'Zał.1_WPF_bazowy'!Z78</f>
        <v>0</v>
      </c>
      <c r="AB78" s="432">
        <f>+'Zał.1_WPF_bazowy'!AA78</f>
        <v>0</v>
      </c>
      <c r="AC78" s="432">
        <f>+'Zał.1_WPF_bazowy'!AB78</f>
        <v>0</v>
      </c>
      <c r="AD78" s="432">
        <f>+'Zał.1_WPF_bazowy'!AC78</f>
        <v>0</v>
      </c>
      <c r="AE78" s="432">
        <f>+'Zał.1_WPF_bazowy'!AD78</f>
        <v>0</v>
      </c>
      <c r="AF78" s="432">
        <f>+'Zał.1_WPF_bazowy'!AE78</f>
        <v>0</v>
      </c>
      <c r="AG78" s="432">
        <f>+'Zał.1_WPF_bazowy'!AF78</f>
        <v>0</v>
      </c>
      <c r="AH78" s="432">
        <f>+'Zał.1_WPF_bazowy'!AG78</f>
        <v>0</v>
      </c>
      <c r="AI78" s="432">
        <f>+'Zał.1_WPF_bazowy'!AH78</f>
        <v>0</v>
      </c>
      <c r="AJ78" s="432">
        <f>+'Zał.1_WPF_bazowy'!AI78</f>
        <v>0</v>
      </c>
      <c r="AK78" s="432">
        <f>+'Zał.1_WPF_bazowy'!AJ78</f>
        <v>0</v>
      </c>
      <c r="AL78" s="432">
        <f>+'Zał.1_WPF_bazowy'!AK78</f>
        <v>0</v>
      </c>
      <c r="AM78" s="432">
        <f>+'Zał.1_WPF_bazowy'!AL78</f>
        <v>0</v>
      </c>
      <c r="AN78" s="433">
        <f>+'Zał.1_WPF_bazowy'!AM78</f>
        <v>0</v>
      </c>
    </row>
    <row r="79" spans="1:40" ht="24" customHeight="1" outlineLevel="2">
      <c r="A79" s="185" t="s">
        <v>132</v>
      </c>
      <c r="B79" s="351"/>
      <c r="C79" s="187"/>
      <c r="D79" s="188"/>
      <c r="E79" s="188"/>
      <c r="F79" s="189" t="s">
        <v>269</v>
      </c>
      <c r="G79" s="328">
        <f>'Zał.1_WPF_bazowy'!F79</f>
        <v>110091.68</v>
      </c>
      <c r="H79" s="329">
        <f>'Zał.1_WPF_bazowy'!G79</f>
        <v>198689.69</v>
      </c>
      <c r="I79" s="329">
        <f>'Zał.1_WPF_bazowy'!H79</f>
        <v>308457.4</v>
      </c>
      <c r="J79" s="430">
        <f>'Zał.1_WPF_bazowy'!I79</f>
        <v>292199.16</v>
      </c>
      <c r="K79" s="431">
        <f>+'Zał.1_WPF_bazowy'!J79</f>
        <v>338741.01</v>
      </c>
      <c r="L79" s="432">
        <f>+'Zał.1_WPF_bazowy'!K79</f>
        <v>241528.18</v>
      </c>
      <c r="M79" s="432">
        <f>+'Zał.1_WPF_bazowy'!L79</f>
        <v>159229.52</v>
      </c>
      <c r="N79" s="432">
        <f>+'Zał.1_WPF_bazowy'!M79</f>
        <v>0</v>
      </c>
      <c r="O79" s="432">
        <f>+'Zał.1_WPF_bazowy'!N79</f>
        <v>0</v>
      </c>
      <c r="P79" s="432">
        <f>+'Zał.1_WPF_bazowy'!O79</f>
        <v>0</v>
      </c>
      <c r="Q79" s="432">
        <f>+'Zał.1_WPF_bazowy'!P79</f>
        <v>0</v>
      </c>
      <c r="R79" s="432">
        <f>+'Zał.1_WPF_bazowy'!Q79</f>
        <v>0</v>
      </c>
      <c r="S79" s="432">
        <f>+'Zał.1_WPF_bazowy'!R79</f>
        <v>0</v>
      </c>
      <c r="T79" s="432">
        <f>+'Zał.1_WPF_bazowy'!S79</f>
        <v>0</v>
      </c>
      <c r="U79" s="432">
        <f>+'Zał.1_WPF_bazowy'!T79</f>
        <v>0</v>
      </c>
      <c r="V79" s="432">
        <f>+'Zał.1_WPF_bazowy'!U79</f>
        <v>0</v>
      </c>
      <c r="W79" s="432">
        <f>+'Zał.1_WPF_bazowy'!V79</f>
        <v>0</v>
      </c>
      <c r="X79" s="432">
        <f>+'Zał.1_WPF_bazowy'!W79</f>
        <v>0</v>
      </c>
      <c r="Y79" s="432">
        <f>+'Zał.1_WPF_bazowy'!X79</f>
        <v>0</v>
      </c>
      <c r="Z79" s="432">
        <f>+'Zał.1_WPF_bazowy'!Y79</f>
        <v>0</v>
      </c>
      <c r="AA79" s="432">
        <f>+'Zał.1_WPF_bazowy'!Z79</f>
        <v>0</v>
      </c>
      <c r="AB79" s="432">
        <f>+'Zał.1_WPF_bazowy'!AA79</f>
        <v>0</v>
      </c>
      <c r="AC79" s="432">
        <f>+'Zał.1_WPF_bazowy'!AB79</f>
        <v>0</v>
      </c>
      <c r="AD79" s="432">
        <f>+'Zał.1_WPF_bazowy'!AC79</f>
        <v>0</v>
      </c>
      <c r="AE79" s="432">
        <f>+'Zał.1_WPF_bazowy'!AD79</f>
        <v>0</v>
      </c>
      <c r="AF79" s="432">
        <f>+'Zał.1_WPF_bazowy'!AE79</f>
        <v>0</v>
      </c>
      <c r="AG79" s="432">
        <f>+'Zał.1_WPF_bazowy'!AF79</f>
        <v>0</v>
      </c>
      <c r="AH79" s="432">
        <f>+'Zał.1_WPF_bazowy'!AG79</f>
        <v>0</v>
      </c>
      <c r="AI79" s="432">
        <f>+'Zał.1_WPF_bazowy'!AH79</f>
        <v>0</v>
      </c>
      <c r="AJ79" s="432">
        <f>+'Zał.1_WPF_bazowy'!AI79</f>
        <v>0</v>
      </c>
      <c r="AK79" s="432">
        <f>+'Zał.1_WPF_bazowy'!AJ79</f>
        <v>0</v>
      </c>
      <c r="AL79" s="432">
        <f>+'Zał.1_WPF_bazowy'!AK79</f>
        <v>0</v>
      </c>
      <c r="AM79" s="432">
        <f>+'Zał.1_WPF_bazowy'!AL79</f>
        <v>0</v>
      </c>
      <c r="AN79" s="433">
        <f>+'Zał.1_WPF_bazowy'!AM79</f>
        <v>0</v>
      </c>
    </row>
    <row r="80" spans="1:40" ht="24" customHeight="1" outlineLevel="2">
      <c r="A80" s="185" t="s">
        <v>201</v>
      </c>
      <c r="B80" s="351"/>
      <c r="C80" s="187"/>
      <c r="D80" s="647" t="s">
        <v>270</v>
      </c>
      <c r="E80" s="647"/>
      <c r="F80" s="647"/>
      <c r="G80" s="328">
        <f>'Zał.1_WPF_bazowy'!F80</f>
        <v>0</v>
      </c>
      <c r="H80" s="329">
        <f>'Zał.1_WPF_bazowy'!G80</f>
        <v>157323</v>
      </c>
      <c r="I80" s="329">
        <f>'Zał.1_WPF_bazowy'!H80</f>
        <v>431774</v>
      </c>
      <c r="J80" s="430">
        <f>'Zał.1_WPF_bazowy'!I80</f>
        <v>414255</v>
      </c>
      <c r="K80" s="431">
        <f>+'Zał.1_WPF_bazowy'!J80</f>
        <v>196000</v>
      </c>
      <c r="L80" s="432">
        <f>+'Zał.1_WPF_bazowy'!K80</f>
        <v>0</v>
      </c>
      <c r="M80" s="432">
        <f>+'Zał.1_WPF_bazowy'!L80</f>
        <v>0</v>
      </c>
      <c r="N80" s="432">
        <f>+'Zał.1_WPF_bazowy'!M80</f>
        <v>0</v>
      </c>
      <c r="O80" s="432">
        <f>+'Zał.1_WPF_bazowy'!N80</f>
        <v>0</v>
      </c>
      <c r="P80" s="432">
        <f>+'Zał.1_WPF_bazowy'!O80</f>
        <v>0</v>
      </c>
      <c r="Q80" s="432">
        <f>+'Zał.1_WPF_bazowy'!P80</f>
        <v>0</v>
      </c>
      <c r="R80" s="432">
        <f>+'Zał.1_WPF_bazowy'!Q80</f>
        <v>0</v>
      </c>
      <c r="S80" s="432">
        <f>+'Zał.1_WPF_bazowy'!R80</f>
        <v>0</v>
      </c>
      <c r="T80" s="432">
        <f>+'Zał.1_WPF_bazowy'!S80</f>
        <v>0</v>
      </c>
      <c r="U80" s="432">
        <f>+'Zał.1_WPF_bazowy'!T80</f>
        <v>0</v>
      </c>
      <c r="V80" s="432">
        <f>+'Zał.1_WPF_bazowy'!U80</f>
        <v>0</v>
      </c>
      <c r="W80" s="432">
        <f>+'Zał.1_WPF_bazowy'!V80</f>
        <v>0</v>
      </c>
      <c r="X80" s="432">
        <f>+'Zał.1_WPF_bazowy'!W80</f>
        <v>0</v>
      </c>
      <c r="Y80" s="432">
        <f>+'Zał.1_WPF_bazowy'!X80</f>
        <v>0</v>
      </c>
      <c r="Z80" s="432">
        <f>+'Zał.1_WPF_bazowy'!Y80</f>
        <v>0</v>
      </c>
      <c r="AA80" s="432">
        <f>+'Zał.1_WPF_bazowy'!Z80</f>
        <v>0</v>
      </c>
      <c r="AB80" s="432">
        <f>+'Zał.1_WPF_bazowy'!AA80</f>
        <v>0</v>
      </c>
      <c r="AC80" s="432">
        <f>+'Zał.1_WPF_bazowy'!AB80</f>
        <v>0</v>
      </c>
      <c r="AD80" s="432">
        <f>+'Zał.1_WPF_bazowy'!AC80</f>
        <v>0</v>
      </c>
      <c r="AE80" s="432">
        <f>+'Zał.1_WPF_bazowy'!AD80</f>
        <v>0</v>
      </c>
      <c r="AF80" s="432">
        <f>+'Zał.1_WPF_bazowy'!AE80</f>
        <v>0</v>
      </c>
      <c r="AG80" s="432">
        <f>+'Zał.1_WPF_bazowy'!AF80</f>
        <v>0</v>
      </c>
      <c r="AH80" s="432">
        <f>+'Zał.1_WPF_bazowy'!AG80</f>
        <v>0</v>
      </c>
      <c r="AI80" s="432">
        <f>+'Zał.1_WPF_bazowy'!AH80</f>
        <v>0</v>
      </c>
      <c r="AJ80" s="432">
        <f>+'Zał.1_WPF_bazowy'!AI80</f>
        <v>0</v>
      </c>
      <c r="AK80" s="432">
        <f>+'Zał.1_WPF_bazowy'!AJ80</f>
        <v>0</v>
      </c>
      <c r="AL80" s="432">
        <f>+'Zał.1_WPF_bazowy'!AK80</f>
        <v>0</v>
      </c>
      <c r="AM80" s="432">
        <f>+'Zał.1_WPF_bazowy'!AL80</f>
        <v>0</v>
      </c>
      <c r="AN80" s="433">
        <f>+'Zał.1_WPF_bazowy'!AM80</f>
        <v>0</v>
      </c>
    </row>
    <row r="81" spans="1:40" ht="14.25" outlineLevel="2">
      <c r="A81" s="185" t="s">
        <v>135</v>
      </c>
      <c r="B81" s="351"/>
      <c r="C81" s="187"/>
      <c r="D81" s="188"/>
      <c r="E81" s="647" t="s">
        <v>268</v>
      </c>
      <c r="F81" s="647"/>
      <c r="G81" s="328">
        <f>'Zał.1_WPF_bazowy'!F81</f>
        <v>0</v>
      </c>
      <c r="H81" s="329">
        <f>'Zał.1_WPF_bazowy'!G81</f>
        <v>157323</v>
      </c>
      <c r="I81" s="329">
        <f>'Zał.1_WPF_bazowy'!H81</f>
        <v>431774</v>
      </c>
      <c r="J81" s="430">
        <f>'Zał.1_WPF_bazowy'!I81</f>
        <v>414255</v>
      </c>
      <c r="K81" s="431">
        <f>+'Zał.1_WPF_bazowy'!J81</f>
        <v>196000</v>
      </c>
      <c r="L81" s="432">
        <f>+'Zał.1_WPF_bazowy'!K81</f>
        <v>0</v>
      </c>
      <c r="M81" s="432">
        <f>+'Zał.1_WPF_bazowy'!L81</f>
        <v>0</v>
      </c>
      <c r="N81" s="432">
        <f>+'Zał.1_WPF_bazowy'!M81</f>
        <v>0</v>
      </c>
      <c r="O81" s="432">
        <f>+'Zał.1_WPF_bazowy'!N81</f>
        <v>0</v>
      </c>
      <c r="P81" s="432">
        <f>+'Zał.1_WPF_bazowy'!O81</f>
        <v>0</v>
      </c>
      <c r="Q81" s="432">
        <f>+'Zał.1_WPF_bazowy'!P81</f>
        <v>0</v>
      </c>
      <c r="R81" s="432">
        <f>+'Zał.1_WPF_bazowy'!Q81</f>
        <v>0</v>
      </c>
      <c r="S81" s="432">
        <f>+'Zał.1_WPF_bazowy'!R81</f>
        <v>0</v>
      </c>
      <c r="T81" s="432">
        <f>+'Zał.1_WPF_bazowy'!S81</f>
        <v>0</v>
      </c>
      <c r="U81" s="432">
        <f>+'Zał.1_WPF_bazowy'!T81</f>
        <v>0</v>
      </c>
      <c r="V81" s="432">
        <f>+'Zał.1_WPF_bazowy'!U81</f>
        <v>0</v>
      </c>
      <c r="W81" s="432">
        <f>+'Zał.1_WPF_bazowy'!V81</f>
        <v>0</v>
      </c>
      <c r="X81" s="432">
        <f>+'Zał.1_WPF_bazowy'!W81</f>
        <v>0</v>
      </c>
      <c r="Y81" s="432">
        <f>+'Zał.1_WPF_bazowy'!X81</f>
        <v>0</v>
      </c>
      <c r="Z81" s="432">
        <f>+'Zał.1_WPF_bazowy'!Y81</f>
        <v>0</v>
      </c>
      <c r="AA81" s="432">
        <f>+'Zał.1_WPF_bazowy'!Z81</f>
        <v>0</v>
      </c>
      <c r="AB81" s="432">
        <f>+'Zał.1_WPF_bazowy'!AA81</f>
        <v>0</v>
      </c>
      <c r="AC81" s="432">
        <f>+'Zał.1_WPF_bazowy'!AB81</f>
        <v>0</v>
      </c>
      <c r="AD81" s="432">
        <f>+'Zał.1_WPF_bazowy'!AC81</f>
        <v>0</v>
      </c>
      <c r="AE81" s="432">
        <f>+'Zał.1_WPF_bazowy'!AD81</f>
        <v>0</v>
      </c>
      <c r="AF81" s="432">
        <f>+'Zał.1_WPF_bazowy'!AE81</f>
        <v>0</v>
      </c>
      <c r="AG81" s="432">
        <f>+'Zał.1_WPF_bazowy'!AF81</f>
        <v>0</v>
      </c>
      <c r="AH81" s="432">
        <f>+'Zał.1_WPF_bazowy'!AG81</f>
        <v>0</v>
      </c>
      <c r="AI81" s="432">
        <f>+'Zał.1_WPF_bazowy'!AH81</f>
        <v>0</v>
      </c>
      <c r="AJ81" s="432">
        <f>+'Zał.1_WPF_bazowy'!AI81</f>
        <v>0</v>
      </c>
      <c r="AK81" s="432">
        <f>+'Zał.1_WPF_bazowy'!AJ81</f>
        <v>0</v>
      </c>
      <c r="AL81" s="432">
        <f>+'Zał.1_WPF_bazowy'!AK81</f>
        <v>0</v>
      </c>
      <c r="AM81" s="432">
        <f>+'Zał.1_WPF_bazowy'!AL81</f>
        <v>0</v>
      </c>
      <c r="AN81" s="433">
        <f>+'Zał.1_WPF_bazowy'!AM81</f>
        <v>0</v>
      </c>
    </row>
    <row r="82" spans="1:40" ht="24" customHeight="1" outlineLevel="2">
      <c r="A82" s="185" t="s">
        <v>137</v>
      </c>
      <c r="B82" s="351"/>
      <c r="C82" s="187"/>
      <c r="D82" s="188"/>
      <c r="E82" s="188"/>
      <c r="F82" s="192" t="s">
        <v>271</v>
      </c>
      <c r="G82" s="328">
        <f>'Zał.1_WPF_bazowy'!F82</f>
        <v>0</v>
      </c>
      <c r="H82" s="329">
        <f>'Zał.1_WPF_bazowy'!G82</f>
        <v>157323</v>
      </c>
      <c r="I82" s="329">
        <f>'Zał.1_WPF_bazowy'!H82</f>
        <v>431774</v>
      </c>
      <c r="J82" s="430">
        <f>'Zał.1_WPF_bazowy'!I82</f>
        <v>414255</v>
      </c>
      <c r="K82" s="431">
        <f>+'Zał.1_WPF_bazowy'!J82</f>
        <v>196000</v>
      </c>
      <c r="L82" s="432">
        <f>+'Zał.1_WPF_bazowy'!K82</f>
        <v>0</v>
      </c>
      <c r="M82" s="432">
        <f>+'Zał.1_WPF_bazowy'!L82</f>
        <v>0</v>
      </c>
      <c r="N82" s="432">
        <f>+'Zał.1_WPF_bazowy'!M82</f>
        <v>0</v>
      </c>
      <c r="O82" s="432">
        <f>+'Zał.1_WPF_bazowy'!N82</f>
        <v>0</v>
      </c>
      <c r="P82" s="432">
        <f>+'Zał.1_WPF_bazowy'!O82</f>
        <v>0</v>
      </c>
      <c r="Q82" s="432">
        <f>+'Zał.1_WPF_bazowy'!P82</f>
        <v>0</v>
      </c>
      <c r="R82" s="432">
        <f>+'Zał.1_WPF_bazowy'!Q82</f>
        <v>0</v>
      </c>
      <c r="S82" s="432">
        <f>+'Zał.1_WPF_bazowy'!R82</f>
        <v>0</v>
      </c>
      <c r="T82" s="432">
        <f>+'Zał.1_WPF_bazowy'!S82</f>
        <v>0</v>
      </c>
      <c r="U82" s="432">
        <f>+'Zał.1_WPF_bazowy'!T82</f>
        <v>0</v>
      </c>
      <c r="V82" s="432">
        <f>+'Zał.1_WPF_bazowy'!U82</f>
        <v>0</v>
      </c>
      <c r="W82" s="432">
        <f>+'Zał.1_WPF_bazowy'!V82</f>
        <v>0</v>
      </c>
      <c r="X82" s="432">
        <f>+'Zał.1_WPF_bazowy'!W82</f>
        <v>0</v>
      </c>
      <c r="Y82" s="432">
        <f>+'Zał.1_WPF_bazowy'!X82</f>
        <v>0</v>
      </c>
      <c r="Z82" s="432">
        <f>+'Zał.1_WPF_bazowy'!Y82</f>
        <v>0</v>
      </c>
      <c r="AA82" s="432">
        <f>+'Zał.1_WPF_bazowy'!Z82</f>
        <v>0</v>
      </c>
      <c r="AB82" s="432">
        <f>+'Zał.1_WPF_bazowy'!AA82</f>
        <v>0</v>
      </c>
      <c r="AC82" s="432">
        <f>+'Zał.1_WPF_bazowy'!AB82</f>
        <v>0</v>
      </c>
      <c r="AD82" s="432">
        <f>+'Zał.1_WPF_bazowy'!AC82</f>
        <v>0</v>
      </c>
      <c r="AE82" s="432">
        <f>+'Zał.1_WPF_bazowy'!AD82</f>
        <v>0</v>
      </c>
      <c r="AF82" s="432">
        <f>+'Zał.1_WPF_bazowy'!AE82</f>
        <v>0</v>
      </c>
      <c r="AG82" s="432">
        <f>+'Zał.1_WPF_bazowy'!AF82</f>
        <v>0</v>
      </c>
      <c r="AH82" s="432">
        <f>+'Zał.1_WPF_bazowy'!AG82</f>
        <v>0</v>
      </c>
      <c r="AI82" s="432">
        <f>+'Zał.1_WPF_bazowy'!AH82</f>
        <v>0</v>
      </c>
      <c r="AJ82" s="432">
        <f>+'Zał.1_WPF_bazowy'!AI82</f>
        <v>0</v>
      </c>
      <c r="AK82" s="432">
        <f>+'Zał.1_WPF_bazowy'!AJ82</f>
        <v>0</v>
      </c>
      <c r="AL82" s="432">
        <f>+'Zał.1_WPF_bazowy'!AK82</f>
        <v>0</v>
      </c>
      <c r="AM82" s="432">
        <f>+'Zał.1_WPF_bazowy'!AL82</f>
        <v>0</v>
      </c>
      <c r="AN82" s="433">
        <f>+'Zał.1_WPF_bazowy'!AM82</f>
        <v>0</v>
      </c>
    </row>
    <row r="83" spans="1:40" ht="24" customHeight="1" outlineLevel="2">
      <c r="A83" s="185" t="s">
        <v>202</v>
      </c>
      <c r="B83" s="351"/>
      <c r="C83" s="187"/>
      <c r="D83" s="647" t="s">
        <v>272</v>
      </c>
      <c r="E83" s="647"/>
      <c r="F83" s="647"/>
      <c r="G83" s="328">
        <f>'Zał.1_WPF_bazowy'!F83</f>
        <v>182966.04</v>
      </c>
      <c r="H83" s="329">
        <f>'Zał.1_WPF_bazowy'!G83</f>
        <v>194043.54</v>
      </c>
      <c r="I83" s="329">
        <f>'Zał.1_WPF_bazowy'!H83</f>
        <v>318803.51</v>
      </c>
      <c r="J83" s="430">
        <f>'Zał.1_WPF_bazowy'!I83</f>
        <v>304034.2</v>
      </c>
      <c r="K83" s="431">
        <f>+'Zał.1_WPF_bazowy'!J83</f>
        <v>16800</v>
      </c>
      <c r="L83" s="432">
        <f>+'Zał.1_WPF_bazowy'!K83</f>
        <v>316789.29</v>
      </c>
      <c r="M83" s="432">
        <f>+'Zał.1_WPF_bazowy'!L83</f>
        <v>174221.8</v>
      </c>
      <c r="N83" s="432">
        <f>+'Zał.1_WPF_bazowy'!M83</f>
        <v>0</v>
      </c>
      <c r="O83" s="432">
        <f>+'Zał.1_WPF_bazowy'!N83</f>
        <v>0</v>
      </c>
      <c r="P83" s="432">
        <f>+'Zał.1_WPF_bazowy'!O83</f>
        <v>0</v>
      </c>
      <c r="Q83" s="432">
        <f>+'Zał.1_WPF_bazowy'!P83</f>
        <v>0</v>
      </c>
      <c r="R83" s="432">
        <f>+'Zał.1_WPF_bazowy'!Q83</f>
        <v>0</v>
      </c>
      <c r="S83" s="432">
        <f>+'Zał.1_WPF_bazowy'!R83</f>
        <v>0</v>
      </c>
      <c r="T83" s="432">
        <f>+'Zał.1_WPF_bazowy'!S83</f>
        <v>0</v>
      </c>
      <c r="U83" s="432">
        <f>+'Zał.1_WPF_bazowy'!T83</f>
        <v>0</v>
      </c>
      <c r="V83" s="432">
        <f>+'Zał.1_WPF_bazowy'!U83</f>
        <v>0</v>
      </c>
      <c r="W83" s="432">
        <f>+'Zał.1_WPF_bazowy'!V83</f>
        <v>0</v>
      </c>
      <c r="X83" s="432">
        <f>+'Zał.1_WPF_bazowy'!W83</f>
        <v>0</v>
      </c>
      <c r="Y83" s="432">
        <f>+'Zał.1_WPF_bazowy'!X83</f>
        <v>0</v>
      </c>
      <c r="Z83" s="432">
        <f>+'Zał.1_WPF_bazowy'!Y83</f>
        <v>0</v>
      </c>
      <c r="AA83" s="432">
        <f>+'Zał.1_WPF_bazowy'!Z83</f>
        <v>0</v>
      </c>
      <c r="AB83" s="432">
        <f>+'Zał.1_WPF_bazowy'!AA83</f>
        <v>0</v>
      </c>
      <c r="AC83" s="432">
        <f>+'Zał.1_WPF_bazowy'!AB83</f>
        <v>0</v>
      </c>
      <c r="AD83" s="432">
        <f>+'Zał.1_WPF_bazowy'!AC83</f>
        <v>0</v>
      </c>
      <c r="AE83" s="432">
        <f>+'Zał.1_WPF_bazowy'!AD83</f>
        <v>0</v>
      </c>
      <c r="AF83" s="432">
        <f>+'Zał.1_WPF_bazowy'!AE83</f>
        <v>0</v>
      </c>
      <c r="AG83" s="432">
        <f>+'Zał.1_WPF_bazowy'!AF83</f>
        <v>0</v>
      </c>
      <c r="AH83" s="432">
        <f>+'Zał.1_WPF_bazowy'!AG83</f>
        <v>0</v>
      </c>
      <c r="AI83" s="432">
        <f>+'Zał.1_WPF_bazowy'!AH83</f>
        <v>0</v>
      </c>
      <c r="AJ83" s="432">
        <f>+'Zał.1_WPF_bazowy'!AI83</f>
        <v>0</v>
      </c>
      <c r="AK83" s="432">
        <f>+'Zał.1_WPF_bazowy'!AJ83</f>
        <v>0</v>
      </c>
      <c r="AL83" s="432">
        <f>+'Zał.1_WPF_bazowy'!AK83</f>
        <v>0</v>
      </c>
      <c r="AM83" s="432">
        <f>+'Zał.1_WPF_bazowy'!AL83</f>
        <v>0</v>
      </c>
      <c r="AN83" s="433">
        <f>+'Zał.1_WPF_bazowy'!AM83</f>
        <v>0</v>
      </c>
    </row>
    <row r="84" spans="1:40" ht="14.25" outlineLevel="2">
      <c r="A84" s="185" t="s">
        <v>140</v>
      </c>
      <c r="B84" s="351"/>
      <c r="C84" s="187"/>
      <c r="D84" s="188"/>
      <c r="E84" s="647" t="s">
        <v>274</v>
      </c>
      <c r="F84" s="647"/>
      <c r="G84" s="328">
        <f>'Zał.1_WPF_bazowy'!F84</f>
        <v>182966.04</v>
      </c>
      <c r="H84" s="329">
        <f>'Zał.1_WPF_bazowy'!G84</f>
        <v>194043.54</v>
      </c>
      <c r="I84" s="329">
        <f>'Zał.1_WPF_bazowy'!H84</f>
        <v>318803.51</v>
      </c>
      <c r="J84" s="430">
        <f>'Zał.1_WPF_bazowy'!I84</f>
        <v>304034.2</v>
      </c>
      <c r="K84" s="431">
        <f>+'Zał.1_WPF_bazowy'!J84</f>
        <v>14280</v>
      </c>
      <c r="L84" s="432">
        <f>+'Zał.1_WPF_bazowy'!K84</f>
        <v>262214.96</v>
      </c>
      <c r="M84" s="432">
        <f>+'Zał.1_WPF_bazowy'!L84</f>
        <v>147383.61</v>
      </c>
      <c r="N84" s="432">
        <f>+'Zał.1_WPF_bazowy'!M84</f>
        <v>0</v>
      </c>
      <c r="O84" s="432">
        <f>+'Zał.1_WPF_bazowy'!N84</f>
        <v>0</v>
      </c>
      <c r="P84" s="432">
        <f>+'Zał.1_WPF_bazowy'!O84</f>
        <v>0</v>
      </c>
      <c r="Q84" s="432">
        <f>+'Zał.1_WPF_bazowy'!P84</f>
        <v>0</v>
      </c>
      <c r="R84" s="432">
        <f>+'Zał.1_WPF_bazowy'!Q84</f>
        <v>0</v>
      </c>
      <c r="S84" s="432">
        <f>+'Zał.1_WPF_bazowy'!R84</f>
        <v>0</v>
      </c>
      <c r="T84" s="432">
        <f>+'Zał.1_WPF_bazowy'!S84</f>
        <v>0</v>
      </c>
      <c r="U84" s="432">
        <f>+'Zał.1_WPF_bazowy'!T84</f>
        <v>0</v>
      </c>
      <c r="V84" s="432">
        <f>+'Zał.1_WPF_bazowy'!U84</f>
        <v>0</v>
      </c>
      <c r="W84" s="432">
        <f>+'Zał.1_WPF_bazowy'!V84</f>
        <v>0</v>
      </c>
      <c r="X84" s="432">
        <f>+'Zał.1_WPF_bazowy'!W84</f>
        <v>0</v>
      </c>
      <c r="Y84" s="432">
        <f>+'Zał.1_WPF_bazowy'!X84</f>
        <v>0</v>
      </c>
      <c r="Z84" s="432">
        <f>+'Zał.1_WPF_bazowy'!Y84</f>
        <v>0</v>
      </c>
      <c r="AA84" s="432">
        <f>+'Zał.1_WPF_bazowy'!Z84</f>
        <v>0</v>
      </c>
      <c r="AB84" s="432">
        <f>+'Zał.1_WPF_bazowy'!AA84</f>
        <v>0</v>
      </c>
      <c r="AC84" s="432">
        <f>+'Zał.1_WPF_bazowy'!AB84</f>
        <v>0</v>
      </c>
      <c r="AD84" s="432">
        <f>+'Zał.1_WPF_bazowy'!AC84</f>
        <v>0</v>
      </c>
      <c r="AE84" s="432">
        <f>+'Zał.1_WPF_bazowy'!AD84</f>
        <v>0</v>
      </c>
      <c r="AF84" s="432">
        <f>+'Zał.1_WPF_bazowy'!AE84</f>
        <v>0</v>
      </c>
      <c r="AG84" s="432">
        <f>+'Zał.1_WPF_bazowy'!AF84</f>
        <v>0</v>
      </c>
      <c r="AH84" s="432">
        <f>+'Zał.1_WPF_bazowy'!AG84</f>
        <v>0</v>
      </c>
      <c r="AI84" s="432">
        <f>+'Zał.1_WPF_bazowy'!AH84</f>
        <v>0</v>
      </c>
      <c r="AJ84" s="432">
        <f>+'Zał.1_WPF_bazowy'!AI84</f>
        <v>0</v>
      </c>
      <c r="AK84" s="432">
        <f>+'Zał.1_WPF_bazowy'!AJ84</f>
        <v>0</v>
      </c>
      <c r="AL84" s="432">
        <f>+'Zał.1_WPF_bazowy'!AK84</f>
        <v>0</v>
      </c>
      <c r="AM84" s="432">
        <f>+'Zał.1_WPF_bazowy'!AL84</f>
        <v>0</v>
      </c>
      <c r="AN84" s="433">
        <f>+'Zał.1_WPF_bazowy'!AM84</f>
        <v>0</v>
      </c>
    </row>
    <row r="85" spans="1:40" ht="36" customHeight="1" outlineLevel="2">
      <c r="A85" s="185" t="s">
        <v>142</v>
      </c>
      <c r="B85" s="351"/>
      <c r="C85" s="187"/>
      <c r="D85" s="188"/>
      <c r="E85" s="647" t="s">
        <v>273</v>
      </c>
      <c r="F85" s="647"/>
      <c r="G85" s="328">
        <f>'Zał.1_WPF_bazowy'!F85</f>
        <v>182966.04</v>
      </c>
      <c r="H85" s="329">
        <f>'Zał.1_WPF_bazowy'!G85</f>
        <v>194043.54</v>
      </c>
      <c r="I85" s="329">
        <f>'Zał.1_WPF_bazowy'!H85</f>
        <v>318803.51</v>
      </c>
      <c r="J85" s="430">
        <f>'Zał.1_WPF_bazowy'!I85</f>
        <v>304034.2</v>
      </c>
      <c r="K85" s="431">
        <f>+'Zał.1_WPF_bazowy'!J85</f>
        <v>14280</v>
      </c>
      <c r="L85" s="432">
        <f>+'Zał.1_WPF_bazowy'!K85</f>
        <v>0</v>
      </c>
      <c r="M85" s="432">
        <f>+'Zał.1_WPF_bazowy'!L85</f>
        <v>0</v>
      </c>
      <c r="N85" s="432">
        <f>+'Zał.1_WPF_bazowy'!M85</f>
        <v>0</v>
      </c>
      <c r="O85" s="432">
        <f>+'Zał.1_WPF_bazowy'!N85</f>
        <v>0</v>
      </c>
      <c r="P85" s="432">
        <f>+'Zał.1_WPF_bazowy'!O85</f>
        <v>0</v>
      </c>
      <c r="Q85" s="432">
        <f>+'Zał.1_WPF_bazowy'!P85</f>
        <v>0</v>
      </c>
      <c r="R85" s="432">
        <f>+'Zał.1_WPF_bazowy'!Q85</f>
        <v>0</v>
      </c>
      <c r="S85" s="432">
        <f>+'Zał.1_WPF_bazowy'!R85</f>
        <v>0</v>
      </c>
      <c r="T85" s="432">
        <f>+'Zał.1_WPF_bazowy'!S85</f>
        <v>0</v>
      </c>
      <c r="U85" s="432">
        <f>+'Zał.1_WPF_bazowy'!T85</f>
        <v>0</v>
      </c>
      <c r="V85" s="432">
        <f>+'Zał.1_WPF_bazowy'!U85</f>
        <v>0</v>
      </c>
      <c r="W85" s="432">
        <f>+'Zał.1_WPF_bazowy'!V85</f>
        <v>0</v>
      </c>
      <c r="X85" s="432">
        <f>+'Zał.1_WPF_bazowy'!W85</f>
        <v>0</v>
      </c>
      <c r="Y85" s="432">
        <f>+'Zał.1_WPF_bazowy'!X85</f>
        <v>0</v>
      </c>
      <c r="Z85" s="432">
        <f>+'Zał.1_WPF_bazowy'!Y85</f>
        <v>0</v>
      </c>
      <c r="AA85" s="432">
        <f>+'Zał.1_WPF_bazowy'!Z85</f>
        <v>0</v>
      </c>
      <c r="AB85" s="432">
        <f>+'Zał.1_WPF_bazowy'!AA85</f>
        <v>0</v>
      </c>
      <c r="AC85" s="432">
        <f>+'Zał.1_WPF_bazowy'!AB85</f>
        <v>0</v>
      </c>
      <c r="AD85" s="432">
        <f>+'Zał.1_WPF_bazowy'!AC85</f>
        <v>0</v>
      </c>
      <c r="AE85" s="432">
        <f>+'Zał.1_WPF_bazowy'!AD85</f>
        <v>0</v>
      </c>
      <c r="AF85" s="432">
        <f>+'Zał.1_WPF_bazowy'!AE85</f>
        <v>0</v>
      </c>
      <c r="AG85" s="432">
        <f>+'Zał.1_WPF_bazowy'!AF85</f>
        <v>0</v>
      </c>
      <c r="AH85" s="432">
        <f>+'Zał.1_WPF_bazowy'!AG85</f>
        <v>0</v>
      </c>
      <c r="AI85" s="432">
        <f>+'Zał.1_WPF_bazowy'!AH85</f>
        <v>0</v>
      </c>
      <c r="AJ85" s="432">
        <f>+'Zał.1_WPF_bazowy'!AI85</f>
        <v>0</v>
      </c>
      <c r="AK85" s="432">
        <f>+'Zał.1_WPF_bazowy'!AJ85</f>
        <v>0</v>
      </c>
      <c r="AL85" s="432">
        <f>+'Zał.1_WPF_bazowy'!AK85</f>
        <v>0</v>
      </c>
      <c r="AM85" s="432">
        <f>+'Zał.1_WPF_bazowy'!AL85</f>
        <v>0</v>
      </c>
      <c r="AN85" s="433">
        <f>+'Zał.1_WPF_bazowy'!AM85</f>
        <v>0</v>
      </c>
    </row>
    <row r="86" spans="1:40" ht="24" customHeight="1" outlineLevel="2">
      <c r="A86" s="185" t="s">
        <v>203</v>
      </c>
      <c r="B86" s="351"/>
      <c r="C86" s="187"/>
      <c r="D86" s="647" t="s">
        <v>275</v>
      </c>
      <c r="E86" s="647"/>
      <c r="F86" s="647"/>
      <c r="G86" s="328">
        <f>'Zał.1_WPF_bazowy'!F86</f>
        <v>209764.87</v>
      </c>
      <c r="H86" s="329">
        <f>'Zał.1_WPF_bazowy'!G86</f>
        <v>285447.25</v>
      </c>
      <c r="I86" s="329">
        <f>'Zał.1_WPF_bazowy'!H86</f>
        <v>559468.05</v>
      </c>
      <c r="J86" s="430">
        <f>'Zał.1_WPF_bazowy'!I86</f>
        <v>524881.5</v>
      </c>
      <c r="K86" s="431">
        <f>+'Zał.1_WPF_bazowy'!J86</f>
        <v>0</v>
      </c>
      <c r="L86" s="432">
        <f>+'Zał.1_WPF_bazowy'!K86</f>
        <v>0</v>
      </c>
      <c r="M86" s="432">
        <f>+'Zał.1_WPF_bazowy'!L86</f>
        <v>0</v>
      </c>
      <c r="N86" s="432">
        <f>+'Zał.1_WPF_bazowy'!M86</f>
        <v>0</v>
      </c>
      <c r="O86" s="432">
        <f>+'Zał.1_WPF_bazowy'!N86</f>
        <v>0</v>
      </c>
      <c r="P86" s="432">
        <f>+'Zał.1_WPF_bazowy'!O86</f>
        <v>0</v>
      </c>
      <c r="Q86" s="432">
        <f>+'Zał.1_WPF_bazowy'!P86</f>
        <v>0</v>
      </c>
      <c r="R86" s="432">
        <f>+'Zał.1_WPF_bazowy'!Q86</f>
        <v>0</v>
      </c>
      <c r="S86" s="432">
        <f>+'Zał.1_WPF_bazowy'!R86</f>
        <v>0</v>
      </c>
      <c r="T86" s="432">
        <f>+'Zał.1_WPF_bazowy'!S86</f>
        <v>0</v>
      </c>
      <c r="U86" s="432">
        <f>+'Zał.1_WPF_bazowy'!T86</f>
        <v>0</v>
      </c>
      <c r="V86" s="432">
        <f>+'Zał.1_WPF_bazowy'!U86</f>
        <v>0</v>
      </c>
      <c r="W86" s="432">
        <f>+'Zał.1_WPF_bazowy'!V86</f>
        <v>0</v>
      </c>
      <c r="X86" s="432">
        <f>+'Zał.1_WPF_bazowy'!W86</f>
        <v>0</v>
      </c>
      <c r="Y86" s="432">
        <f>+'Zał.1_WPF_bazowy'!X86</f>
        <v>0</v>
      </c>
      <c r="Z86" s="432">
        <f>+'Zał.1_WPF_bazowy'!Y86</f>
        <v>0</v>
      </c>
      <c r="AA86" s="432">
        <f>+'Zał.1_WPF_bazowy'!Z86</f>
        <v>0</v>
      </c>
      <c r="AB86" s="432">
        <f>+'Zał.1_WPF_bazowy'!AA86</f>
        <v>0</v>
      </c>
      <c r="AC86" s="432">
        <f>+'Zał.1_WPF_bazowy'!AB86</f>
        <v>0</v>
      </c>
      <c r="AD86" s="432">
        <f>+'Zał.1_WPF_bazowy'!AC86</f>
        <v>0</v>
      </c>
      <c r="AE86" s="432">
        <f>+'Zał.1_WPF_bazowy'!AD86</f>
        <v>0</v>
      </c>
      <c r="AF86" s="432">
        <f>+'Zał.1_WPF_bazowy'!AE86</f>
        <v>0</v>
      </c>
      <c r="AG86" s="432">
        <f>+'Zał.1_WPF_bazowy'!AF86</f>
        <v>0</v>
      </c>
      <c r="AH86" s="432">
        <f>+'Zał.1_WPF_bazowy'!AG86</f>
        <v>0</v>
      </c>
      <c r="AI86" s="432">
        <f>+'Zał.1_WPF_bazowy'!AH86</f>
        <v>0</v>
      </c>
      <c r="AJ86" s="432">
        <f>+'Zał.1_WPF_bazowy'!AI86</f>
        <v>0</v>
      </c>
      <c r="AK86" s="432">
        <f>+'Zał.1_WPF_bazowy'!AJ86</f>
        <v>0</v>
      </c>
      <c r="AL86" s="432">
        <f>+'Zał.1_WPF_bazowy'!AK86</f>
        <v>0</v>
      </c>
      <c r="AM86" s="432">
        <f>+'Zał.1_WPF_bazowy'!AL86</f>
        <v>0</v>
      </c>
      <c r="AN86" s="433">
        <f>+'Zał.1_WPF_bazowy'!AM86</f>
        <v>0</v>
      </c>
    </row>
    <row r="87" spans="1:40" ht="14.25" customHeight="1" outlineLevel="2">
      <c r="A87" s="185" t="s">
        <v>145</v>
      </c>
      <c r="B87" s="351"/>
      <c r="C87" s="187"/>
      <c r="D87" s="188"/>
      <c r="E87" s="647" t="s">
        <v>276</v>
      </c>
      <c r="F87" s="647"/>
      <c r="G87" s="328">
        <f>'Zał.1_WPF_bazowy'!F87</f>
        <v>209764.87</v>
      </c>
      <c r="H87" s="329">
        <f>'Zał.1_WPF_bazowy'!G87</f>
        <v>285447.25</v>
      </c>
      <c r="I87" s="329">
        <f>'Zał.1_WPF_bazowy'!H87</f>
        <v>559468.05</v>
      </c>
      <c r="J87" s="430">
        <f>'Zał.1_WPF_bazowy'!I87</f>
        <v>524881.5</v>
      </c>
      <c r="K87" s="431">
        <f>+'Zał.1_WPF_bazowy'!J87</f>
        <v>0</v>
      </c>
      <c r="L87" s="432">
        <f>+'Zał.1_WPF_bazowy'!K87</f>
        <v>0</v>
      </c>
      <c r="M87" s="432">
        <f>+'Zał.1_WPF_bazowy'!L87</f>
        <v>0</v>
      </c>
      <c r="N87" s="432">
        <f>+'Zał.1_WPF_bazowy'!M87</f>
        <v>0</v>
      </c>
      <c r="O87" s="432">
        <f>+'Zał.1_WPF_bazowy'!N87</f>
        <v>0</v>
      </c>
      <c r="P87" s="432">
        <f>+'Zał.1_WPF_bazowy'!O87</f>
        <v>0</v>
      </c>
      <c r="Q87" s="432">
        <f>+'Zał.1_WPF_bazowy'!P87</f>
        <v>0</v>
      </c>
      <c r="R87" s="432">
        <f>+'Zał.1_WPF_bazowy'!Q87</f>
        <v>0</v>
      </c>
      <c r="S87" s="432">
        <f>+'Zał.1_WPF_bazowy'!R87</f>
        <v>0</v>
      </c>
      <c r="T87" s="432">
        <f>+'Zał.1_WPF_bazowy'!S87</f>
        <v>0</v>
      </c>
      <c r="U87" s="432">
        <f>+'Zał.1_WPF_bazowy'!T87</f>
        <v>0</v>
      </c>
      <c r="V87" s="432">
        <f>+'Zał.1_WPF_bazowy'!U87</f>
        <v>0</v>
      </c>
      <c r="W87" s="432">
        <f>+'Zał.1_WPF_bazowy'!V87</f>
        <v>0</v>
      </c>
      <c r="X87" s="432">
        <f>+'Zał.1_WPF_bazowy'!W87</f>
        <v>0</v>
      </c>
      <c r="Y87" s="432">
        <f>+'Zał.1_WPF_bazowy'!X87</f>
        <v>0</v>
      </c>
      <c r="Z87" s="432">
        <f>+'Zał.1_WPF_bazowy'!Y87</f>
        <v>0</v>
      </c>
      <c r="AA87" s="432">
        <f>+'Zał.1_WPF_bazowy'!Z87</f>
        <v>0</v>
      </c>
      <c r="AB87" s="432">
        <f>+'Zał.1_WPF_bazowy'!AA87</f>
        <v>0</v>
      </c>
      <c r="AC87" s="432">
        <f>+'Zał.1_WPF_bazowy'!AB87</f>
        <v>0</v>
      </c>
      <c r="AD87" s="432">
        <f>+'Zał.1_WPF_bazowy'!AC87</f>
        <v>0</v>
      </c>
      <c r="AE87" s="432">
        <f>+'Zał.1_WPF_bazowy'!AD87</f>
        <v>0</v>
      </c>
      <c r="AF87" s="432">
        <f>+'Zał.1_WPF_bazowy'!AE87</f>
        <v>0</v>
      </c>
      <c r="AG87" s="432">
        <f>+'Zał.1_WPF_bazowy'!AF87</f>
        <v>0</v>
      </c>
      <c r="AH87" s="432">
        <f>+'Zał.1_WPF_bazowy'!AG87</f>
        <v>0</v>
      </c>
      <c r="AI87" s="432">
        <f>+'Zał.1_WPF_bazowy'!AH87</f>
        <v>0</v>
      </c>
      <c r="AJ87" s="432">
        <f>+'Zał.1_WPF_bazowy'!AI87</f>
        <v>0</v>
      </c>
      <c r="AK87" s="432">
        <f>+'Zał.1_WPF_bazowy'!AJ87</f>
        <v>0</v>
      </c>
      <c r="AL87" s="432">
        <f>+'Zał.1_WPF_bazowy'!AK87</f>
        <v>0</v>
      </c>
      <c r="AM87" s="432">
        <f>+'Zał.1_WPF_bazowy'!AL87</f>
        <v>0</v>
      </c>
      <c r="AN87" s="433">
        <f>+'Zał.1_WPF_bazowy'!AM87</f>
        <v>0</v>
      </c>
    </row>
    <row r="88" spans="1:40" ht="36" customHeight="1" outlineLevel="2">
      <c r="A88" s="185" t="s">
        <v>147</v>
      </c>
      <c r="B88" s="351"/>
      <c r="C88" s="187"/>
      <c r="D88" s="188"/>
      <c r="E88" s="647" t="s">
        <v>277</v>
      </c>
      <c r="F88" s="647"/>
      <c r="G88" s="328">
        <f>'Zał.1_WPF_bazowy'!F88</f>
        <v>209764.87</v>
      </c>
      <c r="H88" s="329">
        <f>'Zał.1_WPF_bazowy'!G88</f>
        <v>285447.25</v>
      </c>
      <c r="I88" s="329">
        <f>'Zał.1_WPF_bazowy'!H88</f>
        <v>559468.05</v>
      </c>
      <c r="J88" s="430">
        <f>'Zał.1_WPF_bazowy'!I88</f>
        <v>524881.5</v>
      </c>
      <c r="K88" s="431">
        <f>+'Zał.1_WPF_bazowy'!J88</f>
        <v>0</v>
      </c>
      <c r="L88" s="432">
        <f>+'Zał.1_WPF_bazowy'!K88</f>
        <v>0</v>
      </c>
      <c r="M88" s="432">
        <f>+'Zał.1_WPF_bazowy'!L88</f>
        <v>0</v>
      </c>
      <c r="N88" s="432">
        <f>+'Zał.1_WPF_bazowy'!M88</f>
        <v>0</v>
      </c>
      <c r="O88" s="432">
        <f>+'Zał.1_WPF_bazowy'!N88</f>
        <v>0</v>
      </c>
      <c r="P88" s="432">
        <f>+'Zał.1_WPF_bazowy'!O88</f>
        <v>0</v>
      </c>
      <c r="Q88" s="432">
        <f>+'Zał.1_WPF_bazowy'!P88</f>
        <v>0</v>
      </c>
      <c r="R88" s="432">
        <f>+'Zał.1_WPF_bazowy'!Q88</f>
        <v>0</v>
      </c>
      <c r="S88" s="432">
        <f>+'Zał.1_WPF_bazowy'!R88</f>
        <v>0</v>
      </c>
      <c r="T88" s="432">
        <f>+'Zał.1_WPF_bazowy'!S88</f>
        <v>0</v>
      </c>
      <c r="U88" s="432">
        <f>+'Zał.1_WPF_bazowy'!T88</f>
        <v>0</v>
      </c>
      <c r="V88" s="432">
        <f>+'Zał.1_WPF_bazowy'!U88</f>
        <v>0</v>
      </c>
      <c r="W88" s="432">
        <f>+'Zał.1_WPF_bazowy'!V88</f>
        <v>0</v>
      </c>
      <c r="X88" s="432">
        <f>+'Zał.1_WPF_bazowy'!W88</f>
        <v>0</v>
      </c>
      <c r="Y88" s="432">
        <f>+'Zał.1_WPF_bazowy'!X88</f>
        <v>0</v>
      </c>
      <c r="Z88" s="432">
        <f>+'Zał.1_WPF_bazowy'!Y88</f>
        <v>0</v>
      </c>
      <c r="AA88" s="432">
        <f>+'Zał.1_WPF_bazowy'!Z88</f>
        <v>0</v>
      </c>
      <c r="AB88" s="432">
        <f>+'Zał.1_WPF_bazowy'!AA88</f>
        <v>0</v>
      </c>
      <c r="AC88" s="432">
        <f>+'Zał.1_WPF_bazowy'!AB88</f>
        <v>0</v>
      </c>
      <c r="AD88" s="432">
        <f>+'Zał.1_WPF_bazowy'!AC88</f>
        <v>0</v>
      </c>
      <c r="AE88" s="432">
        <f>+'Zał.1_WPF_bazowy'!AD88</f>
        <v>0</v>
      </c>
      <c r="AF88" s="432">
        <f>+'Zał.1_WPF_bazowy'!AE88</f>
        <v>0</v>
      </c>
      <c r="AG88" s="432">
        <f>+'Zał.1_WPF_bazowy'!AF88</f>
        <v>0</v>
      </c>
      <c r="AH88" s="432">
        <f>+'Zał.1_WPF_bazowy'!AG88</f>
        <v>0</v>
      </c>
      <c r="AI88" s="432">
        <f>+'Zał.1_WPF_bazowy'!AH88</f>
        <v>0</v>
      </c>
      <c r="AJ88" s="432">
        <f>+'Zał.1_WPF_bazowy'!AI88</f>
        <v>0</v>
      </c>
      <c r="AK88" s="432">
        <f>+'Zał.1_WPF_bazowy'!AJ88</f>
        <v>0</v>
      </c>
      <c r="AL88" s="432">
        <f>+'Zał.1_WPF_bazowy'!AK88</f>
        <v>0</v>
      </c>
      <c r="AM88" s="432">
        <f>+'Zał.1_WPF_bazowy'!AL88</f>
        <v>0</v>
      </c>
      <c r="AN88" s="433">
        <f>+'Zał.1_WPF_bazowy'!AM88</f>
        <v>0</v>
      </c>
    </row>
    <row r="89" spans="1:40" s="184" customFormat="1" ht="24" customHeight="1" outlineLevel="1">
      <c r="A89" s="183">
        <v>13</v>
      </c>
      <c r="B89" s="350"/>
      <c r="C89" s="648" t="s">
        <v>149</v>
      </c>
      <c r="D89" s="649"/>
      <c r="E89" s="649"/>
      <c r="F89" s="649"/>
      <c r="G89" s="334" t="s">
        <v>31</v>
      </c>
      <c r="H89" s="335" t="s">
        <v>31</v>
      </c>
      <c r="I89" s="335" t="s">
        <v>31</v>
      </c>
      <c r="J89" s="442" t="s">
        <v>31</v>
      </c>
      <c r="K89" s="443" t="s">
        <v>31</v>
      </c>
      <c r="L89" s="444" t="s">
        <v>31</v>
      </c>
      <c r="M89" s="444" t="s">
        <v>31</v>
      </c>
      <c r="N89" s="444" t="s">
        <v>31</v>
      </c>
      <c r="O89" s="444" t="s">
        <v>31</v>
      </c>
      <c r="P89" s="444" t="s">
        <v>31</v>
      </c>
      <c r="Q89" s="444" t="s">
        <v>31</v>
      </c>
      <c r="R89" s="444" t="s">
        <v>31</v>
      </c>
      <c r="S89" s="444" t="s">
        <v>31</v>
      </c>
      <c r="T89" s="444" t="s">
        <v>31</v>
      </c>
      <c r="U89" s="444" t="s">
        <v>31</v>
      </c>
      <c r="V89" s="444" t="s">
        <v>31</v>
      </c>
      <c r="W89" s="444" t="s">
        <v>31</v>
      </c>
      <c r="X89" s="444" t="s">
        <v>31</v>
      </c>
      <c r="Y89" s="444" t="s">
        <v>31</v>
      </c>
      <c r="Z89" s="444" t="s">
        <v>31</v>
      </c>
      <c r="AA89" s="444" t="s">
        <v>31</v>
      </c>
      <c r="AB89" s="444" t="s">
        <v>31</v>
      </c>
      <c r="AC89" s="444" t="s">
        <v>31</v>
      </c>
      <c r="AD89" s="444" t="s">
        <v>31</v>
      </c>
      <c r="AE89" s="444" t="s">
        <v>31</v>
      </c>
      <c r="AF89" s="444" t="s">
        <v>31</v>
      </c>
      <c r="AG89" s="444" t="s">
        <v>31</v>
      </c>
      <c r="AH89" s="444" t="s">
        <v>31</v>
      </c>
      <c r="AI89" s="444" t="s">
        <v>31</v>
      </c>
      <c r="AJ89" s="444" t="s">
        <v>31</v>
      </c>
      <c r="AK89" s="444" t="s">
        <v>31</v>
      </c>
      <c r="AL89" s="444" t="s">
        <v>31</v>
      </c>
      <c r="AM89" s="444" t="s">
        <v>31</v>
      </c>
      <c r="AN89" s="445" t="s">
        <v>31</v>
      </c>
    </row>
    <row r="90" spans="1:40" ht="36" customHeight="1" outlineLevel="2">
      <c r="A90" s="185" t="s">
        <v>204</v>
      </c>
      <c r="B90" s="351"/>
      <c r="C90" s="187"/>
      <c r="D90" s="647" t="s">
        <v>278</v>
      </c>
      <c r="E90" s="647"/>
      <c r="F90" s="647"/>
      <c r="G90" s="328">
        <f>'Zał.1_WPF_bazowy'!F90</f>
        <v>0</v>
      </c>
      <c r="H90" s="329">
        <f>'Zał.1_WPF_bazowy'!G90</f>
        <v>0</v>
      </c>
      <c r="I90" s="329">
        <f>'Zał.1_WPF_bazowy'!H90</f>
        <v>0</v>
      </c>
      <c r="J90" s="430">
        <f>'Zał.1_WPF_bazowy'!I90</f>
        <v>0</v>
      </c>
      <c r="K90" s="446">
        <f>+IF(K10&lt;&gt;0,J90-(K92+K93+K94+K95),0)</f>
        <v>0</v>
      </c>
      <c r="L90" s="447">
        <f aca="true" t="shared" si="21" ref="L90:AN90">+IF(L10&lt;&gt;0,K90-(L92+L93+L94+L95),0)</f>
        <v>0</v>
      </c>
      <c r="M90" s="447">
        <f t="shared" si="21"/>
        <v>0</v>
      </c>
      <c r="N90" s="447">
        <f t="shared" si="21"/>
        <v>0</v>
      </c>
      <c r="O90" s="447">
        <f t="shared" si="21"/>
        <v>0</v>
      </c>
      <c r="P90" s="447">
        <f t="shared" si="21"/>
        <v>0</v>
      </c>
      <c r="Q90" s="447">
        <f t="shared" si="21"/>
        <v>0</v>
      </c>
      <c r="R90" s="447">
        <f t="shared" si="21"/>
        <v>0</v>
      </c>
      <c r="S90" s="447">
        <f t="shared" si="21"/>
        <v>0</v>
      </c>
      <c r="T90" s="447">
        <f t="shared" si="21"/>
        <v>0</v>
      </c>
      <c r="U90" s="447">
        <f t="shared" si="21"/>
        <v>0</v>
      </c>
      <c r="V90" s="447">
        <f t="shared" si="21"/>
        <v>0</v>
      </c>
      <c r="W90" s="447">
        <f t="shared" si="21"/>
        <v>0</v>
      </c>
      <c r="X90" s="447">
        <f t="shared" si="21"/>
        <v>0</v>
      </c>
      <c r="Y90" s="447">
        <f t="shared" si="21"/>
        <v>0</v>
      </c>
      <c r="Z90" s="447">
        <f t="shared" si="21"/>
        <v>0</v>
      </c>
      <c r="AA90" s="447">
        <f t="shared" si="21"/>
        <v>0</v>
      </c>
      <c r="AB90" s="447">
        <f t="shared" si="21"/>
        <v>0</v>
      </c>
      <c r="AC90" s="447">
        <f t="shared" si="21"/>
        <v>0</v>
      </c>
      <c r="AD90" s="447">
        <f t="shared" si="21"/>
        <v>0</v>
      </c>
      <c r="AE90" s="447">
        <f t="shared" si="21"/>
        <v>0</v>
      </c>
      <c r="AF90" s="447">
        <f t="shared" si="21"/>
        <v>0</v>
      </c>
      <c r="AG90" s="447">
        <f t="shared" si="21"/>
        <v>0</v>
      </c>
      <c r="AH90" s="447">
        <f t="shared" si="21"/>
        <v>0</v>
      </c>
      <c r="AI90" s="447">
        <f t="shared" si="21"/>
        <v>0</v>
      </c>
      <c r="AJ90" s="447">
        <f t="shared" si="21"/>
        <v>0</v>
      </c>
      <c r="AK90" s="447">
        <f t="shared" si="21"/>
        <v>0</v>
      </c>
      <c r="AL90" s="447">
        <f t="shared" si="21"/>
        <v>0</v>
      </c>
      <c r="AM90" s="447">
        <f t="shared" si="21"/>
        <v>0</v>
      </c>
      <c r="AN90" s="448">
        <f t="shared" si="21"/>
        <v>0</v>
      </c>
    </row>
    <row r="91" spans="1:40" ht="36" customHeight="1" outlineLevel="2">
      <c r="A91" s="185" t="s">
        <v>205</v>
      </c>
      <c r="B91" s="351"/>
      <c r="C91" s="187"/>
      <c r="D91" s="647" t="s">
        <v>279</v>
      </c>
      <c r="E91" s="647"/>
      <c r="F91" s="647"/>
      <c r="G91" s="328">
        <f>'Zał.1_WPF_bazowy'!F91</f>
        <v>0</v>
      </c>
      <c r="H91" s="329">
        <f>'Zał.1_WPF_bazowy'!G91</f>
        <v>0</v>
      </c>
      <c r="I91" s="329">
        <f>'Zał.1_WPF_bazowy'!H91</f>
        <v>0</v>
      </c>
      <c r="J91" s="430">
        <f>'Zał.1_WPF_bazowy'!I91</f>
        <v>0</v>
      </c>
      <c r="K91" s="431">
        <f>+'Zał.1_WPF_bazowy'!J91</f>
        <v>0</v>
      </c>
      <c r="L91" s="432">
        <f>+'Zał.1_WPF_bazowy'!K91</f>
        <v>0</v>
      </c>
      <c r="M91" s="432">
        <f>+'Zał.1_WPF_bazowy'!L91</f>
        <v>0</v>
      </c>
      <c r="N91" s="432">
        <f>+'Zał.1_WPF_bazowy'!M91</f>
        <v>0</v>
      </c>
      <c r="O91" s="432">
        <f>+'Zał.1_WPF_bazowy'!N91</f>
        <v>0</v>
      </c>
      <c r="P91" s="432">
        <f>+'Zał.1_WPF_bazowy'!O91</f>
        <v>0</v>
      </c>
      <c r="Q91" s="432">
        <f>+'Zał.1_WPF_bazowy'!P91</f>
        <v>0</v>
      </c>
      <c r="R91" s="432">
        <f>+'Zał.1_WPF_bazowy'!Q91</f>
        <v>0</v>
      </c>
      <c r="S91" s="432">
        <f>+'Zał.1_WPF_bazowy'!R91</f>
        <v>0</v>
      </c>
      <c r="T91" s="432">
        <f>+'Zał.1_WPF_bazowy'!S91</f>
        <v>0</v>
      </c>
      <c r="U91" s="432">
        <f>+'Zał.1_WPF_bazowy'!T91</f>
        <v>0</v>
      </c>
      <c r="V91" s="432">
        <f>+'Zał.1_WPF_bazowy'!U91</f>
        <v>0</v>
      </c>
      <c r="W91" s="432">
        <f>+'Zał.1_WPF_bazowy'!V91</f>
        <v>0</v>
      </c>
      <c r="X91" s="432">
        <f>+'Zał.1_WPF_bazowy'!W91</f>
        <v>0</v>
      </c>
      <c r="Y91" s="432">
        <f>+'Zał.1_WPF_bazowy'!X91</f>
        <v>0</v>
      </c>
      <c r="Z91" s="432">
        <f>+'Zał.1_WPF_bazowy'!Y91</f>
        <v>0</v>
      </c>
      <c r="AA91" s="432">
        <f>+'Zał.1_WPF_bazowy'!Z91</f>
        <v>0</v>
      </c>
      <c r="AB91" s="432">
        <f>+'Zał.1_WPF_bazowy'!AA91</f>
        <v>0</v>
      </c>
      <c r="AC91" s="432">
        <f>+'Zał.1_WPF_bazowy'!AB91</f>
        <v>0</v>
      </c>
      <c r="AD91" s="432">
        <f>+'Zał.1_WPF_bazowy'!AC91</f>
        <v>0</v>
      </c>
      <c r="AE91" s="432">
        <f>+'Zał.1_WPF_bazowy'!AD91</f>
        <v>0</v>
      </c>
      <c r="AF91" s="432">
        <f>+'Zał.1_WPF_bazowy'!AE91</f>
        <v>0</v>
      </c>
      <c r="AG91" s="432">
        <f>+'Zał.1_WPF_bazowy'!AF91</f>
        <v>0</v>
      </c>
      <c r="AH91" s="432">
        <f>+'Zał.1_WPF_bazowy'!AG91</f>
        <v>0</v>
      </c>
      <c r="AI91" s="432">
        <f>+'Zał.1_WPF_bazowy'!AH91</f>
        <v>0</v>
      </c>
      <c r="AJ91" s="432">
        <f>+'Zał.1_WPF_bazowy'!AI91</f>
        <v>0</v>
      </c>
      <c r="AK91" s="432">
        <f>+'Zał.1_WPF_bazowy'!AJ91</f>
        <v>0</v>
      </c>
      <c r="AL91" s="432">
        <f>+'Zał.1_WPF_bazowy'!AK91</f>
        <v>0</v>
      </c>
      <c r="AM91" s="432">
        <f>+'Zał.1_WPF_bazowy'!AL91</f>
        <v>0</v>
      </c>
      <c r="AN91" s="433">
        <f>+'Zał.1_WPF_bazowy'!AM91</f>
        <v>0</v>
      </c>
    </row>
    <row r="92" spans="1:40" ht="24" customHeight="1" outlineLevel="2">
      <c r="A92" s="185" t="s">
        <v>206</v>
      </c>
      <c r="B92" s="351"/>
      <c r="C92" s="187"/>
      <c r="D92" s="647" t="s">
        <v>280</v>
      </c>
      <c r="E92" s="647"/>
      <c r="F92" s="647"/>
      <c r="G92" s="328">
        <f>'Zał.1_WPF_bazowy'!F92</f>
        <v>0</v>
      </c>
      <c r="H92" s="329">
        <f>'Zał.1_WPF_bazowy'!G92</f>
        <v>0</v>
      </c>
      <c r="I92" s="329">
        <f>'Zał.1_WPF_bazowy'!H92</f>
        <v>0</v>
      </c>
      <c r="J92" s="430">
        <f>'Zał.1_WPF_bazowy'!I92</f>
        <v>0</v>
      </c>
      <c r="K92" s="431">
        <f>+'Zał.1_WPF_bazowy'!J92</f>
        <v>0</v>
      </c>
      <c r="L92" s="432">
        <f>+'Zał.1_WPF_bazowy'!K92</f>
        <v>0</v>
      </c>
      <c r="M92" s="432">
        <f>+'Zał.1_WPF_bazowy'!L92</f>
        <v>0</v>
      </c>
      <c r="N92" s="432">
        <f>+'Zał.1_WPF_bazowy'!M92</f>
        <v>0</v>
      </c>
      <c r="O92" s="432">
        <f>+'Zał.1_WPF_bazowy'!N92</f>
        <v>0</v>
      </c>
      <c r="P92" s="432">
        <f>+'Zał.1_WPF_bazowy'!O92</f>
        <v>0</v>
      </c>
      <c r="Q92" s="432">
        <f>+'Zał.1_WPF_bazowy'!P92</f>
        <v>0</v>
      </c>
      <c r="R92" s="432">
        <f>+'Zał.1_WPF_bazowy'!Q92</f>
        <v>0</v>
      </c>
      <c r="S92" s="432">
        <f>+'Zał.1_WPF_bazowy'!R92</f>
        <v>0</v>
      </c>
      <c r="T92" s="432">
        <f>+'Zał.1_WPF_bazowy'!S92</f>
        <v>0</v>
      </c>
      <c r="U92" s="432">
        <f>+'Zał.1_WPF_bazowy'!T92</f>
        <v>0</v>
      </c>
      <c r="V92" s="432">
        <f>+'Zał.1_WPF_bazowy'!U92</f>
        <v>0</v>
      </c>
      <c r="W92" s="432">
        <f>+'Zał.1_WPF_bazowy'!V92</f>
        <v>0</v>
      </c>
      <c r="X92" s="432">
        <f>+'Zał.1_WPF_bazowy'!W92</f>
        <v>0</v>
      </c>
      <c r="Y92" s="432">
        <f>+'Zał.1_WPF_bazowy'!X92</f>
        <v>0</v>
      </c>
      <c r="Z92" s="432">
        <f>+'Zał.1_WPF_bazowy'!Y92</f>
        <v>0</v>
      </c>
      <c r="AA92" s="432">
        <f>+'Zał.1_WPF_bazowy'!Z92</f>
        <v>0</v>
      </c>
      <c r="AB92" s="432">
        <f>+'Zał.1_WPF_bazowy'!AA92</f>
        <v>0</v>
      </c>
      <c r="AC92" s="432">
        <f>+'Zał.1_WPF_bazowy'!AB92</f>
        <v>0</v>
      </c>
      <c r="AD92" s="432">
        <f>+'Zał.1_WPF_bazowy'!AC92</f>
        <v>0</v>
      </c>
      <c r="AE92" s="432">
        <f>+'Zał.1_WPF_bazowy'!AD92</f>
        <v>0</v>
      </c>
      <c r="AF92" s="432">
        <f>+'Zał.1_WPF_bazowy'!AE92</f>
        <v>0</v>
      </c>
      <c r="AG92" s="432">
        <f>+'Zał.1_WPF_bazowy'!AF92</f>
        <v>0</v>
      </c>
      <c r="AH92" s="432">
        <f>+'Zał.1_WPF_bazowy'!AG92</f>
        <v>0</v>
      </c>
      <c r="AI92" s="432">
        <f>+'Zał.1_WPF_bazowy'!AH92</f>
        <v>0</v>
      </c>
      <c r="AJ92" s="432">
        <f>+'Zał.1_WPF_bazowy'!AI92</f>
        <v>0</v>
      </c>
      <c r="AK92" s="432">
        <f>+'Zał.1_WPF_bazowy'!AJ92</f>
        <v>0</v>
      </c>
      <c r="AL92" s="432">
        <f>+'Zał.1_WPF_bazowy'!AK92</f>
        <v>0</v>
      </c>
      <c r="AM92" s="432">
        <f>+'Zał.1_WPF_bazowy'!AL92</f>
        <v>0</v>
      </c>
      <c r="AN92" s="433">
        <f>+'Zał.1_WPF_bazowy'!AM92</f>
        <v>0</v>
      </c>
    </row>
    <row r="93" spans="1:40" ht="36" customHeight="1" outlineLevel="2">
      <c r="A93" s="185" t="s">
        <v>207</v>
      </c>
      <c r="B93" s="351"/>
      <c r="C93" s="187"/>
      <c r="D93" s="647" t="s">
        <v>281</v>
      </c>
      <c r="E93" s="647"/>
      <c r="F93" s="647"/>
      <c r="G93" s="328">
        <f>'Zał.1_WPF_bazowy'!F93</f>
        <v>0</v>
      </c>
      <c r="H93" s="329">
        <f>'Zał.1_WPF_bazowy'!G93</f>
        <v>0</v>
      </c>
      <c r="I93" s="329">
        <f>'Zał.1_WPF_bazowy'!H93</f>
        <v>0</v>
      </c>
      <c r="J93" s="430">
        <f>'Zał.1_WPF_bazowy'!I93</f>
        <v>0</v>
      </c>
      <c r="K93" s="431">
        <f>+'Zał.1_WPF_bazowy'!J93</f>
        <v>0</v>
      </c>
      <c r="L93" s="432">
        <f>+'Zał.1_WPF_bazowy'!K93</f>
        <v>0</v>
      </c>
      <c r="M93" s="432">
        <f>+'Zał.1_WPF_bazowy'!L93</f>
        <v>0</v>
      </c>
      <c r="N93" s="432">
        <f>+'Zał.1_WPF_bazowy'!M93</f>
        <v>0</v>
      </c>
      <c r="O93" s="432">
        <f>+'Zał.1_WPF_bazowy'!N93</f>
        <v>0</v>
      </c>
      <c r="P93" s="432">
        <f>+'Zał.1_WPF_bazowy'!O93</f>
        <v>0</v>
      </c>
      <c r="Q93" s="432">
        <f>+'Zał.1_WPF_bazowy'!P93</f>
        <v>0</v>
      </c>
      <c r="R93" s="432">
        <f>+'Zał.1_WPF_bazowy'!Q93</f>
        <v>0</v>
      </c>
      <c r="S93" s="432">
        <f>+'Zał.1_WPF_bazowy'!R93</f>
        <v>0</v>
      </c>
      <c r="T93" s="432">
        <f>+'Zał.1_WPF_bazowy'!S93</f>
        <v>0</v>
      </c>
      <c r="U93" s="432">
        <f>+'Zał.1_WPF_bazowy'!T93</f>
        <v>0</v>
      </c>
      <c r="V93" s="432">
        <f>+'Zał.1_WPF_bazowy'!U93</f>
        <v>0</v>
      </c>
      <c r="W93" s="432">
        <f>+'Zał.1_WPF_bazowy'!V93</f>
        <v>0</v>
      </c>
      <c r="X93" s="432">
        <f>+'Zał.1_WPF_bazowy'!W93</f>
        <v>0</v>
      </c>
      <c r="Y93" s="432">
        <f>+'Zał.1_WPF_bazowy'!X93</f>
        <v>0</v>
      </c>
      <c r="Z93" s="432">
        <f>+'Zał.1_WPF_bazowy'!Y93</f>
        <v>0</v>
      </c>
      <c r="AA93" s="432">
        <f>+'Zał.1_WPF_bazowy'!Z93</f>
        <v>0</v>
      </c>
      <c r="AB93" s="432">
        <f>+'Zał.1_WPF_bazowy'!AA93</f>
        <v>0</v>
      </c>
      <c r="AC93" s="432">
        <f>+'Zał.1_WPF_bazowy'!AB93</f>
        <v>0</v>
      </c>
      <c r="AD93" s="432">
        <f>+'Zał.1_WPF_bazowy'!AC93</f>
        <v>0</v>
      </c>
      <c r="AE93" s="432">
        <f>+'Zał.1_WPF_bazowy'!AD93</f>
        <v>0</v>
      </c>
      <c r="AF93" s="432">
        <f>+'Zał.1_WPF_bazowy'!AE93</f>
        <v>0</v>
      </c>
      <c r="AG93" s="432">
        <f>+'Zał.1_WPF_bazowy'!AF93</f>
        <v>0</v>
      </c>
      <c r="AH93" s="432">
        <f>+'Zał.1_WPF_bazowy'!AG93</f>
        <v>0</v>
      </c>
      <c r="AI93" s="432">
        <f>+'Zał.1_WPF_bazowy'!AH93</f>
        <v>0</v>
      </c>
      <c r="AJ93" s="432">
        <f>+'Zał.1_WPF_bazowy'!AI93</f>
        <v>0</v>
      </c>
      <c r="AK93" s="432">
        <f>+'Zał.1_WPF_bazowy'!AJ93</f>
        <v>0</v>
      </c>
      <c r="AL93" s="432">
        <f>+'Zał.1_WPF_bazowy'!AK93</f>
        <v>0</v>
      </c>
      <c r="AM93" s="432">
        <f>+'Zał.1_WPF_bazowy'!AL93</f>
        <v>0</v>
      </c>
      <c r="AN93" s="433">
        <f>+'Zał.1_WPF_bazowy'!AM93</f>
        <v>0</v>
      </c>
    </row>
    <row r="94" spans="1:40" ht="36" customHeight="1" outlineLevel="2">
      <c r="A94" s="185" t="s">
        <v>208</v>
      </c>
      <c r="B94" s="351"/>
      <c r="C94" s="187"/>
      <c r="D94" s="647" t="s">
        <v>282</v>
      </c>
      <c r="E94" s="647"/>
      <c r="F94" s="647"/>
      <c r="G94" s="328">
        <f>'Zał.1_WPF_bazowy'!F94</f>
        <v>0</v>
      </c>
      <c r="H94" s="329">
        <f>'Zał.1_WPF_bazowy'!G94</f>
        <v>0</v>
      </c>
      <c r="I94" s="329">
        <f>'Zał.1_WPF_bazowy'!H94</f>
        <v>0</v>
      </c>
      <c r="J94" s="430">
        <f>'Zał.1_WPF_bazowy'!I94</f>
        <v>0</v>
      </c>
      <c r="K94" s="431">
        <f>+'Zał.1_WPF_bazowy'!J94</f>
        <v>0</v>
      </c>
      <c r="L94" s="432">
        <f>+'Zał.1_WPF_bazowy'!K94</f>
        <v>0</v>
      </c>
      <c r="M94" s="432">
        <f>+'Zał.1_WPF_bazowy'!L94</f>
        <v>0</v>
      </c>
      <c r="N94" s="432">
        <f>+'Zał.1_WPF_bazowy'!M94</f>
        <v>0</v>
      </c>
      <c r="O94" s="432">
        <f>+'Zał.1_WPF_bazowy'!N94</f>
        <v>0</v>
      </c>
      <c r="P94" s="432">
        <f>+'Zał.1_WPF_bazowy'!O94</f>
        <v>0</v>
      </c>
      <c r="Q94" s="432">
        <f>+'Zał.1_WPF_bazowy'!P94</f>
        <v>0</v>
      </c>
      <c r="R94" s="432">
        <f>+'Zał.1_WPF_bazowy'!Q94</f>
        <v>0</v>
      </c>
      <c r="S94" s="432">
        <f>+'Zał.1_WPF_bazowy'!R94</f>
        <v>0</v>
      </c>
      <c r="T94" s="432">
        <f>+'Zał.1_WPF_bazowy'!S94</f>
        <v>0</v>
      </c>
      <c r="U94" s="432">
        <f>+'Zał.1_WPF_bazowy'!T94</f>
        <v>0</v>
      </c>
      <c r="V94" s="432">
        <f>+'Zał.1_WPF_bazowy'!U94</f>
        <v>0</v>
      </c>
      <c r="W94" s="432">
        <f>+'Zał.1_WPF_bazowy'!V94</f>
        <v>0</v>
      </c>
      <c r="X94" s="432">
        <f>+'Zał.1_WPF_bazowy'!W94</f>
        <v>0</v>
      </c>
      <c r="Y94" s="432">
        <f>+'Zał.1_WPF_bazowy'!X94</f>
        <v>0</v>
      </c>
      <c r="Z94" s="432">
        <f>+'Zał.1_WPF_bazowy'!Y94</f>
        <v>0</v>
      </c>
      <c r="AA94" s="432">
        <f>+'Zał.1_WPF_bazowy'!Z94</f>
        <v>0</v>
      </c>
      <c r="AB94" s="432">
        <f>+'Zał.1_WPF_bazowy'!AA94</f>
        <v>0</v>
      </c>
      <c r="AC94" s="432">
        <f>+'Zał.1_WPF_bazowy'!AB94</f>
        <v>0</v>
      </c>
      <c r="AD94" s="432">
        <f>+'Zał.1_WPF_bazowy'!AC94</f>
        <v>0</v>
      </c>
      <c r="AE94" s="432">
        <f>+'Zał.1_WPF_bazowy'!AD94</f>
        <v>0</v>
      </c>
      <c r="AF94" s="432">
        <f>+'Zał.1_WPF_bazowy'!AE94</f>
        <v>0</v>
      </c>
      <c r="AG94" s="432">
        <f>+'Zał.1_WPF_bazowy'!AF94</f>
        <v>0</v>
      </c>
      <c r="AH94" s="432">
        <f>+'Zał.1_WPF_bazowy'!AG94</f>
        <v>0</v>
      </c>
      <c r="AI94" s="432">
        <f>+'Zał.1_WPF_bazowy'!AH94</f>
        <v>0</v>
      </c>
      <c r="AJ94" s="432">
        <f>+'Zał.1_WPF_bazowy'!AI94</f>
        <v>0</v>
      </c>
      <c r="AK94" s="432">
        <f>+'Zał.1_WPF_bazowy'!AJ94</f>
        <v>0</v>
      </c>
      <c r="AL94" s="432">
        <f>+'Zał.1_WPF_bazowy'!AK94</f>
        <v>0</v>
      </c>
      <c r="AM94" s="432">
        <f>+'Zał.1_WPF_bazowy'!AL94</f>
        <v>0</v>
      </c>
      <c r="AN94" s="433">
        <f>+'Zał.1_WPF_bazowy'!AM94</f>
        <v>0</v>
      </c>
    </row>
    <row r="95" spans="1:40" ht="36" customHeight="1" outlineLevel="2">
      <c r="A95" s="185" t="s">
        <v>209</v>
      </c>
      <c r="B95" s="351"/>
      <c r="C95" s="187"/>
      <c r="D95" s="647" t="s">
        <v>283</v>
      </c>
      <c r="E95" s="647"/>
      <c r="F95" s="647"/>
      <c r="G95" s="328">
        <f>'Zał.1_WPF_bazowy'!F95</f>
        <v>0</v>
      </c>
      <c r="H95" s="329">
        <f>'Zał.1_WPF_bazowy'!G95</f>
        <v>0</v>
      </c>
      <c r="I95" s="329">
        <f>'Zał.1_WPF_bazowy'!H95</f>
        <v>0</v>
      </c>
      <c r="J95" s="430">
        <f>'Zał.1_WPF_bazowy'!I95</f>
        <v>0</v>
      </c>
      <c r="K95" s="431">
        <f>+'Zał.1_WPF_bazowy'!J95</f>
        <v>0</v>
      </c>
      <c r="L95" s="432">
        <f>+'Zał.1_WPF_bazowy'!K95</f>
        <v>0</v>
      </c>
      <c r="M95" s="432">
        <f>+'Zał.1_WPF_bazowy'!L95</f>
        <v>0</v>
      </c>
      <c r="N95" s="432">
        <f>+'Zał.1_WPF_bazowy'!M95</f>
        <v>0</v>
      </c>
      <c r="O95" s="432">
        <f>+'Zał.1_WPF_bazowy'!N95</f>
        <v>0</v>
      </c>
      <c r="P95" s="432">
        <f>+'Zał.1_WPF_bazowy'!O95</f>
        <v>0</v>
      </c>
      <c r="Q95" s="432">
        <f>+'Zał.1_WPF_bazowy'!P95</f>
        <v>0</v>
      </c>
      <c r="R95" s="432">
        <f>+'Zał.1_WPF_bazowy'!Q95</f>
        <v>0</v>
      </c>
      <c r="S95" s="432">
        <f>+'Zał.1_WPF_bazowy'!R95</f>
        <v>0</v>
      </c>
      <c r="T95" s="432">
        <f>+'Zał.1_WPF_bazowy'!S95</f>
        <v>0</v>
      </c>
      <c r="U95" s="432">
        <f>+'Zał.1_WPF_bazowy'!T95</f>
        <v>0</v>
      </c>
      <c r="V95" s="432">
        <f>+'Zał.1_WPF_bazowy'!U95</f>
        <v>0</v>
      </c>
      <c r="W95" s="432">
        <f>+'Zał.1_WPF_bazowy'!V95</f>
        <v>0</v>
      </c>
      <c r="X95" s="432">
        <f>+'Zał.1_WPF_bazowy'!W95</f>
        <v>0</v>
      </c>
      <c r="Y95" s="432">
        <f>+'Zał.1_WPF_bazowy'!X95</f>
        <v>0</v>
      </c>
      <c r="Z95" s="432">
        <f>+'Zał.1_WPF_bazowy'!Y95</f>
        <v>0</v>
      </c>
      <c r="AA95" s="432">
        <f>+'Zał.1_WPF_bazowy'!Z95</f>
        <v>0</v>
      </c>
      <c r="AB95" s="432">
        <f>+'Zał.1_WPF_bazowy'!AA95</f>
        <v>0</v>
      </c>
      <c r="AC95" s="432">
        <f>+'Zał.1_WPF_bazowy'!AB95</f>
        <v>0</v>
      </c>
      <c r="AD95" s="432">
        <f>+'Zał.1_WPF_bazowy'!AC95</f>
        <v>0</v>
      </c>
      <c r="AE95" s="432">
        <f>+'Zał.1_WPF_bazowy'!AD95</f>
        <v>0</v>
      </c>
      <c r="AF95" s="432">
        <f>+'Zał.1_WPF_bazowy'!AE95</f>
        <v>0</v>
      </c>
      <c r="AG95" s="432">
        <f>+'Zał.1_WPF_bazowy'!AF95</f>
        <v>0</v>
      </c>
      <c r="AH95" s="432">
        <f>+'Zał.1_WPF_bazowy'!AG95</f>
        <v>0</v>
      </c>
      <c r="AI95" s="432">
        <f>+'Zał.1_WPF_bazowy'!AH95</f>
        <v>0</v>
      </c>
      <c r="AJ95" s="432">
        <f>+'Zał.1_WPF_bazowy'!AI95</f>
        <v>0</v>
      </c>
      <c r="AK95" s="432">
        <f>+'Zał.1_WPF_bazowy'!AJ95</f>
        <v>0</v>
      </c>
      <c r="AL95" s="432">
        <f>+'Zał.1_WPF_bazowy'!AK95</f>
        <v>0</v>
      </c>
      <c r="AM95" s="432">
        <f>+'Zał.1_WPF_bazowy'!AL95</f>
        <v>0</v>
      </c>
      <c r="AN95" s="433">
        <f>+'Zał.1_WPF_bazowy'!AM95</f>
        <v>0</v>
      </c>
    </row>
    <row r="96" spans="1:40" ht="23.25" customHeight="1" outlineLevel="2">
      <c r="A96" s="185" t="s">
        <v>210</v>
      </c>
      <c r="B96" s="351"/>
      <c r="C96" s="187"/>
      <c r="D96" s="647" t="s">
        <v>284</v>
      </c>
      <c r="E96" s="647"/>
      <c r="F96" s="647"/>
      <c r="G96" s="328">
        <f>'Zał.1_WPF_bazowy'!F96</f>
        <v>0</v>
      </c>
      <c r="H96" s="329">
        <f>'Zał.1_WPF_bazowy'!G96</f>
        <v>0</v>
      </c>
      <c r="I96" s="329">
        <f>'Zał.1_WPF_bazowy'!H96</f>
        <v>0</v>
      </c>
      <c r="J96" s="430">
        <f>'Zał.1_WPF_bazowy'!I96</f>
        <v>0</v>
      </c>
      <c r="K96" s="431">
        <f>+'Zał.1_WPF_bazowy'!J96</f>
        <v>0</v>
      </c>
      <c r="L96" s="432">
        <f>+'Zał.1_WPF_bazowy'!K96</f>
        <v>0</v>
      </c>
      <c r="M96" s="432">
        <f>+'Zał.1_WPF_bazowy'!L96</f>
        <v>0</v>
      </c>
      <c r="N96" s="432">
        <f>+'Zał.1_WPF_bazowy'!M96</f>
        <v>0</v>
      </c>
      <c r="O96" s="432">
        <f>+'Zał.1_WPF_bazowy'!N96</f>
        <v>0</v>
      </c>
      <c r="P96" s="432">
        <f>+'Zał.1_WPF_bazowy'!O96</f>
        <v>0</v>
      </c>
      <c r="Q96" s="432">
        <f>+'Zał.1_WPF_bazowy'!P96</f>
        <v>0</v>
      </c>
      <c r="R96" s="432">
        <f>+'Zał.1_WPF_bazowy'!Q96</f>
        <v>0</v>
      </c>
      <c r="S96" s="432">
        <f>+'Zał.1_WPF_bazowy'!R96</f>
        <v>0</v>
      </c>
      <c r="T96" s="432">
        <f>+'Zał.1_WPF_bazowy'!S96</f>
        <v>0</v>
      </c>
      <c r="U96" s="432">
        <f>+'Zał.1_WPF_bazowy'!T96</f>
        <v>0</v>
      </c>
      <c r="V96" s="432">
        <f>+'Zał.1_WPF_bazowy'!U96</f>
        <v>0</v>
      </c>
      <c r="W96" s="432">
        <f>+'Zał.1_WPF_bazowy'!V96</f>
        <v>0</v>
      </c>
      <c r="X96" s="432">
        <f>+'Zał.1_WPF_bazowy'!W96</f>
        <v>0</v>
      </c>
      <c r="Y96" s="432">
        <f>+'Zał.1_WPF_bazowy'!X96</f>
        <v>0</v>
      </c>
      <c r="Z96" s="432">
        <f>+'Zał.1_WPF_bazowy'!Y96</f>
        <v>0</v>
      </c>
      <c r="AA96" s="432">
        <f>+'Zał.1_WPF_bazowy'!Z96</f>
        <v>0</v>
      </c>
      <c r="AB96" s="432">
        <f>+'Zał.1_WPF_bazowy'!AA96</f>
        <v>0</v>
      </c>
      <c r="AC96" s="432">
        <f>+'Zał.1_WPF_bazowy'!AB96</f>
        <v>0</v>
      </c>
      <c r="AD96" s="432">
        <f>+'Zał.1_WPF_bazowy'!AC96</f>
        <v>0</v>
      </c>
      <c r="AE96" s="432">
        <f>+'Zał.1_WPF_bazowy'!AD96</f>
        <v>0</v>
      </c>
      <c r="AF96" s="432">
        <f>+'Zał.1_WPF_bazowy'!AE96</f>
        <v>0</v>
      </c>
      <c r="AG96" s="432">
        <f>+'Zał.1_WPF_bazowy'!AF96</f>
        <v>0</v>
      </c>
      <c r="AH96" s="432">
        <f>+'Zał.1_WPF_bazowy'!AG96</f>
        <v>0</v>
      </c>
      <c r="AI96" s="432">
        <f>+'Zał.1_WPF_bazowy'!AH96</f>
        <v>0</v>
      </c>
      <c r="AJ96" s="432">
        <f>+'Zał.1_WPF_bazowy'!AI96</f>
        <v>0</v>
      </c>
      <c r="AK96" s="432">
        <f>+'Zał.1_WPF_bazowy'!AJ96</f>
        <v>0</v>
      </c>
      <c r="AL96" s="432">
        <f>+'Zał.1_WPF_bazowy'!AK96</f>
        <v>0</v>
      </c>
      <c r="AM96" s="432">
        <f>+'Zał.1_WPF_bazowy'!AL96</f>
        <v>0</v>
      </c>
      <c r="AN96" s="433">
        <f>+'Zał.1_WPF_bazowy'!AM96</f>
        <v>0</v>
      </c>
    </row>
    <row r="97" spans="1:40" s="184" customFormat="1" ht="15" outlineLevel="1">
      <c r="A97" s="183">
        <v>14</v>
      </c>
      <c r="B97" s="350"/>
      <c r="C97" s="648" t="s">
        <v>157</v>
      </c>
      <c r="D97" s="649"/>
      <c r="E97" s="649"/>
      <c r="F97" s="649"/>
      <c r="G97" s="334" t="s">
        <v>31</v>
      </c>
      <c r="H97" s="335" t="s">
        <v>31</v>
      </c>
      <c r="I97" s="335" t="s">
        <v>31</v>
      </c>
      <c r="J97" s="442" t="s">
        <v>31</v>
      </c>
      <c r="K97" s="443" t="s">
        <v>31</v>
      </c>
      <c r="L97" s="444" t="s">
        <v>31</v>
      </c>
      <c r="M97" s="444" t="s">
        <v>31</v>
      </c>
      <c r="N97" s="444" t="s">
        <v>31</v>
      </c>
      <c r="O97" s="444" t="s">
        <v>31</v>
      </c>
      <c r="P97" s="444" t="s">
        <v>31</v>
      </c>
      <c r="Q97" s="444" t="s">
        <v>31</v>
      </c>
      <c r="R97" s="444" t="s">
        <v>31</v>
      </c>
      <c r="S97" s="444" t="s">
        <v>31</v>
      </c>
      <c r="T97" s="444" t="s">
        <v>31</v>
      </c>
      <c r="U97" s="444" t="s">
        <v>31</v>
      </c>
      <c r="V97" s="444" t="s">
        <v>31</v>
      </c>
      <c r="W97" s="444" t="s">
        <v>31</v>
      </c>
      <c r="X97" s="444" t="s">
        <v>31</v>
      </c>
      <c r="Y97" s="444" t="s">
        <v>31</v>
      </c>
      <c r="Z97" s="444" t="s">
        <v>31</v>
      </c>
      <c r="AA97" s="444" t="s">
        <v>31</v>
      </c>
      <c r="AB97" s="444" t="s">
        <v>31</v>
      </c>
      <c r="AC97" s="444" t="s">
        <v>31</v>
      </c>
      <c r="AD97" s="444" t="s">
        <v>31</v>
      </c>
      <c r="AE97" s="444" t="s">
        <v>31</v>
      </c>
      <c r="AF97" s="444" t="s">
        <v>31</v>
      </c>
      <c r="AG97" s="444" t="s">
        <v>31</v>
      </c>
      <c r="AH97" s="444" t="s">
        <v>31</v>
      </c>
      <c r="AI97" s="444" t="s">
        <v>31</v>
      </c>
      <c r="AJ97" s="444" t="s">
        <v>31</v>
      </c>
      <c r="AK97" s="444" t="s">
        <v>31</v>
      </c>
      <c r="AL97" s="444" t="s">
        <v>31</v>
      </c>
      <c r="AM97" s="444" t="s">
        <v>31</v>
      </c>
      <c r="AN97" s="445" t="s">
        <v>31</v>
      </c>
    </row>
    <row r="98" spans="1:40" ht="36" customHeight="1" outlineLevel="2">
      <c r="A98" s="185" t="s">
        <v>211</v>
      </c>
      <c r="B98" s="351"/>
      <c r="C98" s="187"/>
      <c r="D98" s="647" t="s">
        <v>285</v>
      </c>
      <c r="E98" s="647"/>
      <c r="F98" s="647"/>
      <c r="G98" s="328">
        <f>'Zał.1_WPF_bazowy'!F98</f>
        <v>1020254.44</v>
      </c>
      <c r="H98" s="329">
        <f>'Zał.1_WPF_bazowy'!G98</f>
        <v>1242259.44</v>
      </c>
      <c r="I98" s="329">
        <f>'Zał.1_WPF_bazowy'!H98</f>
        <v>1049260</v>
      </c>
      <c r="J98" s="430">
        <f>'Zał.1_WPF_bazowy'!I98</f>
        <v>1049259.44</v>
      </c>
      <c r="K98" s="431">
        <f>+'Zał.1_WPF_bazowy'!J98</f>
        <v>1133995</v>
      </c>
      <c r="L98" s="432">
        <f>+'Zał.1_WPF_bazowy'!K98</f>
        <v>694000</v>
      </c>
      <c r="M98" s="432">
        <f>+'Zał.1_WPF_bazowy'!L98</f>
        <v>814000</v>
      </c>
      <c r="N98" s="432">
        <f>+'Zał.1_WPF_bazowy'!M98</f>
        <v>950000</v>
      </c>
      <c r="O98" s="432">
        <f>+'Zał.1_WPF_bazowy'!N98</f>
        <v>900000</v>
      </c>
      <c r="P98" s="432">
        <f>+'Zał.1_WPF_bazowy'!O98</f>
        <v>600000</v>
      </c>
      <c r="Q98" s="432">
        <f>+'Zał.1_WPF_bazowy'!P98</f>
        <v>100000</v>
      </c>
      <c r="R98" s="432">
        <f>+'Zał.1_WPF_bazowy'!Q98</f>
        <v>0</v>
      </c>
      <c r="S98" s="432">
        <f>+'Zał.1_WPF_bazowy'!R98</f>
        <v>0</v>
      </c>
      <c r="T98" s="432">
        <f>+'Zał.1_WPF_bazowy'!S98</f>
        <v>0</v>
      </c>
      <c r="U98" s="432">
        <f>+'Zał.1_WPF_bazowy'!T98</f>
        <v>0</v>
      </c>
      <c r="V98" s="432">
        <f>+'Zał.1_WPF_bazowy'!U98</f>
        <v>0</v>
      </c>
      <c r="W98" s="432">
        <f>+'Zał.1_WPF_bazowy'!V98</f>
        <v>0</v>
      </c>
      <c r="X98" s="432">
        <f>+'Zał.1_WPF_bazowy'!W98</f>
        <v>0</v>
      </c>
      <c r="Y98" s="432">
        <f>+'Zał.1_WPF_bazowy'!X98</f>
        <v>0</v>
      </c>
      <c r="Z98" s="432">
        <f>+'Zał.1_WPF_bazowy'!Y98</f>
        <v>0</v>
      </c>
      <c r="AA98" s="432">
        <f>+'Zał.1_WPF_bazowy'!Z98</f>
        <v>0</v>
      </c>
      <c r="AB98" s="432">
        <f>+'Zał.1_WPF_bazowy'!AA98</f>
        <v>0</v>
      </c>
      <c r="AC98" s="432">
        <f>+'Zał.1_WPF_bazowy'!AB98</f>
        <v>0</v>
      </c>
      <c r="AD98" s="432">
        <f>+'Zał.1_WPF_bazowy'!AC98</f>
        <v>0</v>
      </c>
      <c r="AE98" s="432">
        <f>+'Zał.1_WPF_bazowy'!AD98</f>
        <v>0</v>
      </c>
      <c r="AF98" s="432">
        <f>+'Zał.1_WPF_bazowy'!AE98</f>
        <v>0</v>
      </c>
      <c r="AG98" s="432">
        <f>+'Zał.1_WPF_bazowy'!AF98</f>
        <v>0</v>
      </c>
      <c r="AH98" s="432">
        <f>+'Zał.1_WPF_bazowy'!AG98</f>
        <v>0</v>
      </c>
      <c r="AI98" s="432">
        <f>+'Zał.1_WPF_bazowy'!AH98</f>
        <v>0</v>
      </c>
      <c r="AJ98" s="432">
        <f>+'Zał.1_WPF_bazowy'!AI98</f>
        <v>0</v>
      </c>
      <c r="AK98" s="432">
        <f>+'Zał.1_WPF_bazowy'!AJ98</f>
        <v>0</v>
      </c>
      <c r="AL98" s="432">
        <f>+'Zał.1_WPF_bazowy'!AK98</f>
        <v>0</v>
      </c>
      <c r="AM98" s="432">
        <f>+'Zał.1_WPF_bazowy'!AL98</f>
        <v>0</v>
      </c>
      <c r="AN98" s="433">
        <f>+'Zał.1_WPF_bazowy'!AM98</f>
        <v>0</v>
      </c>
    </row>
    <row r="99" spans="1:40" ht="14.25" outlineLevel="2">
      <c r="A99" s="185" t="s">
        <v>212</v>
      </c>
      <c r="B99" s="351"/>
      <c r="C99" s="187"/>
      <c r="D99" s="647" t="s">
        <v>286</v>
      </c>
      <c r="E99" s="647"/>
      <c r="F99" s="647"/>
      <c r="G99" s="328">
        <f>'Zał.1_WPF_bazowy'!F99</f>
        <v>0</v>
      </c>
      <c r="H99" s="329">
        <f>'Zał.1_WPF_bazowy'!G99</f>
        <v>0</v>
      </c>
      <c r="I99" s="329">
        <f>'Zał.1_WPF_bazowy'!H99</f>
        <v>0</v>
      </c>
      <c r="J99" s="430">
        <f>'Zał.1_WPF_bazowy'!I99</f>
        <v>141.03</v>
      </c>
      <c r="K99" s="431">
        <f>+'Zał.1_WPF_bazowy'!J99</f>
        <v>0</v>
      </c>
      <c r="L99" s="432">
        <f>+'Zał.1_WPF_bazowy'!K99</f>
        <v>0</v>
      </c>
      <c r="M99" s="432">
        <f>+'Zał.1_WPF_bazowy'!L99</f>
        <v>0</v>
      </c>
      <c r="N99" s="432">
        <f>+'Zał.1_WPF_bazowy'!M99</f>
        <v>0</v>
      </c>
      <c r="O99" s="432">
        <f>+'Zał.1_WPF_bazowy'!N99</f>
        <v>0</v>
      </c>
      <c r="P99" s="432">
        <f>+'Zał.1_WPF_bazowy'!O99</f>
        <v>0</v>
      </c>
      <c r="Q99" s="432">
        <f>+'Zał.1_WPF_bazowy'!P99</f>
        <v>0</v>
      </c>
      <c r="R99" s="432">
        <f>+'Zał.1_WPF_bazowy'!Q99</f>
        <v>0</v>
      </c>
      <c r="S99" s="432">
        <f>+'Zał.1_WPF_bazowy'!R99</f>
        <v>0</v>
      </c>
      <c r="T99" s="432">
        <f>+'Zał.1_WPF_bazowy'!S99</f>
        <v>0</v>
      </c>
      <c r="U99" s="432">
        <f>+'Zał.1_WPF_bazowy'!T99</f>
        <v>0</v>
      </c>
      <c r="V99" s="432">
        <f>+'Zał.1_WPF_bazowy'!U99</f>
        <v>0</v>
      </c>
      <c r="W99" s="432">
        <f>+'Zał.1_WPF_bazowy'!V99</f>
        <v>0</v>
      </c>
      <c r="X99" s="432">
        <f>+'Zał.1_WPF_bazowy'!W99</f>
        <v>0</v>
      </c>
      <c r="Y99" s="432">
        <f>+'Zał.1_WPF_bazowy'!X99</f>
        <v>0</v>
      </c>
      <c r="Z99" s="432">
        <f>+'Zał.1_WPF_bazowy'!Y99</f>
        <v>0</v>
      </c>
      <c r="AA99" s="432">
        <f>+'Zał.1_WPF_bazowy'!Z99</f>
        <v>0</v>
      </c>
      <c r="AB99" s="432">
        <f>+'Zał.1_WPF_bazowy'!AA99</f>
        <v>0</v>
      </c>
      <c r="AC99" s="432">
        <f>+'Zał.1_WPF_bazowy'!AB99</f>
        <v>0</v>
      </c>
      <c r="AD99" s="432">
        <f>+'Zał.1_WPF_bazowy'!AC99</f>
        <v>0</v>
      </c>
      <c r="AE99" s="432">
        <f>+'Zał.1_WPF_bazowy'!AD99</f>
        <v>0</v>
      </c>
      <c r="AF99" s="432">
        <f>+'Zał.1_WPF_bazowy'!AE99</f>
        <v>0</v>
      </c>
      <c r="AG99" s="432">
        <f>+'Zał.1_WPF_bazowy'!AF99</f>
        <v>0</v>
      </c>
      <c r="AH99" s="432">
        <f>+'Zał.1_WPF_bazowy'!AG99</f>
        <v>0</v>
      </c>
      <c r="AI99" s="432">
        <f>+'Zał.1_WPF_bazowy'!AH99</f>
        <v>0</v>
      </c>
      <c r="AJ99" s="432">
        <f>+'Zał.1_WPF_bazowy'!AI99</f>
        <v>0</v>
      </c>
      <c r="AK99" s="432">
        <f>+'Zał.1_WPF_bazowy'!AJ99</f>
        <v>0</v>
      </c>
      <c r="AL99" s="432">
        <f>+'Zał.1_WPF_bazowy'!AK99</f>
        <v>0</v>
      </c>
      <c r="AM99" s="432">
        <f>+'Zał.1_WPF_bazowy'!AL99</f>
        <v>0</v>
      </c>
      <c r="AN99" s="433">
        <f>+'Zał.1_WPF_bazowy'!AM99</f>
        <v>0</v>
      </c>
    </row>
    <row r="100" spans="1:40" ht="14.25" outlineLevel="2">
      <c r="A100" s="185" t="s">
        <v>213</v>
      </c>
      <c r="B100" s="351"/>
      <c r="C100" s="187"/>
      <c r="D100" s="647" t="s">
        <v>288</v>
      </c>
      <c r="E100" s="647"/>
      <c r="F100" s="647"/>
      <c r="G100" s="328">
        <f>'Zał.1_WPF_bazowy'!F100</f>
        <v>0</v>
      </c>
      <c r="H100" s="329">
        <f>'Zał.1_WPF_bazowy'!G100</f>
        <v>0</v>
      </c>
      <c r="I100" s="329">
        <f>'Zał.1_WPF_bazowy'!H100</f>
        <v>0</v>
      </c>
      <c r="J100" s="430">
        <f>'Zał.1_WPF_bazowy'!I100</f>
        <v>0</v>
      </c>
      <c r="K100" s="431">
        <f>+'Zał.1_WPF_bazowy'!J100</f>
        <v>141.03</v>
      </c>
      <c r="L100" s="432">
        <f>+'Zał.1_WPF_bazowy'!K100</f>
        <v>0</v>
      </c>
      <c r="M100" s="432">
        <f>+'Zał.1_WPF_bazowy'!L100</f>
        <v>0</v>
      </c>
      <c r="N100" s="432">
        <f>+'Zał.1_WPF_bazowy'!M100</f>
        <v>0</v>
      </c>
      <c r="O100" s="432">
        <f>+'Zał.1_WPF_bazowy'!N100</f>
        <v>0</v>
      </c>
      <c r="P100" s="432">
        <f>+'Zał.1_WPF_bazowy'!O100</f>
        <v>0</v>
      </c>
      <c r="Q100" s="432">
        <f>+'Zał.1_WPF_bazowy'!P100</f>
        <v>0</v>
      </c>
      <c r="R100" s="432">
        <f>+'Zał.1_WPF_bazowy'!Q100</f>
        <v>0</v>
      </c>
      <c r="S100" s="432">
        <f>+'Zał.1_WPF_bazowy'!R100</f>
        <v>0</v>
      </c>
      <c r="T100" s="432">
        <f>+'Zał.1_WPF_bazowy'!S100</f>
        <v>0</v>
      </c>
      <c r="U100" s="432">
        <f>+'Zał.1_WPF_bazowy'!T100</f>
        <v>0</v>
      </c>
      <c r="V100" s="432">
        <f>+'Zał.1_WPF_bazowy'!U100</f>
        <v>0</v>
      </c>
      <c r="W100" s="432">
        <f>+'Zał.1_WPF_bazowy'!V100</f>
        <v>0</v>
      </c>
      <c r="X100" s="432">
        <f>+'Zał.1_WPF_bazowy'!W100</f>
        <v>0</v>
      </c>
      <c r="Y100" s="432">
        <f>+'Zał.1_WPF_bazowy'!X100</f>
        <v>0</v>
      </c>
      <c r="Z100" s="432">
        <f>+'Zał.1_WPF_bazowy'!Y100</f>
        <v>0</v>
      </c>
      <c r="AA100" s="432">
        <f>+'Zał.1_WPF_bazowy'!Z100</f>
        <v>0</v>
      </c>
      <c r="AB100" s="432">
        <f>+'Zał.1_WPF_bazowy'!AA100</f>
        <v>0</v>
      </c>
      <c r="AC100" s="432">
        <f>+'Zał.1_WPF_bazowy'!AB100</f>
        <v>0</v>
      </c>
      <c r="AD100" s="432">
        <f>+'Zał.1_WPF_bazowy'!AC100</f>
        <v>0</v>
      </c>
      <c r="AE100" s="432">
        <f>+'Zał.1_WPF_bazowy'!AD100</f>
        <v>0</v>
      </c>
      <c r="AF100" s="432">
        <f>+'Zał.1_WPF_bazowy'!AE100</f>
        <v>0</v>
      </c>
      <c r="AG100" s="432">
        <f>+'Zał.1_WPF_bazowy'!AF100</f>
        <v>0</v>
      </c>
      <c r="AH100" s="432">
        <f>+'Zał.1_WPF_bazowy'!AG100</f>
        <v>0</v>
      </c>
      <c r="AI100" s="432">
        <f>+'Zał.1_WPF_bazowy'!AH100</f>
        <v>0</v>
      </c>
      <c r="AJ100" s="432">
        <f>+'Zał.1_WPF_bazowy'!AI100</f>
        <v>0</v>
      </c>
      <c r="AK100" s="432">
        <f>+'Zał.1_WPF_bazowy'!AJ100</f>
        <v>0</v>
      </c>
      <c r="AL100" s="432">
        <f>+'Zał.1_WPF_bazowy'!AK100</f>
        <v>0</v>
      </c>
      <c r="AM100" s="432">
        <f>+'Zał.1_WPF_bazowy'!AL100</f>
        <v>0</v>
      </c>
      <c r="AN100" s="433">
        <f>+'Zał.1_WPF_bazowy'!AM100</f>
        <v>0</v>
      </c>
    </row>
    <row r="101" spans="1:40" ht="24" customHeight="1" outlineLevel="2">
      <c r="A101" s="185" t="s">
        <v>161</v>
      </c>
      <c r="B101" s="351"/>
      <c r="C101" s="187"/>
      <c r="D101" s="188"/>
      <c r="E101" s="647" t="s">
        <v>287</v>
      </c>
      <c r="F101" s="647"/>
      <c r="G101" s="328">
        <f>'Zał.1_WPF_bazowy'!F101</f>
        <v>0</v>
      </c>
      <c r="H101" s="329">
        <f>'Zał.1_WPF_bazowy'!G101</f>
        <v>0</v>
      </c>
      <c r="I101" s="329">
        <f>'Zał.1_WPF_bazowy'!H101</f>
        <v>0</v>
      </c>
      <c r="J101" s="430">
        <f>'Zał.1_WPF_bazowy'!I101</f>
        <v>0</v>
      </c>
      <c r="K101" s="431">
        <f>+'Zał.1_WPF_bazowy'!J101</f>
        <v>141.03</v>
      </c>
      <c r="L101" s="432">
        <f>+'Zał.1_WPF_bazowy'!K101</f>
        <v>0</v>
      </c>
      <c r="M101" s="432">
        <f>+'Zał.1_WPF_bazowy'!L101</f>
        <v>0</v>
      </c>
      <c r="N101" s="432">
        <f>+'Zał.1_WPF_bazowy'!M101</f>
        <v>0</v>
      </c>
      <c r="O101" s="432">
        <f>+'Zał.1_WPF_bazowy'!N101</f>
        <v>0</v>
      </c>
      <c r="P101" s="432">
        <f>+'Zał.1_WPF_bazowy'!O101</f>
        <v>0</v>
      </c>
      <c r="Q101" s="432">
        <f>+'Zał.1_WPF_bazowy'!P101</f>
        <v>0</v>
      </c>
      <c r="R101" s="432">
        <f>+'Zał.1_WPF_bazowy'!Q101</f>
        <v>0</v>
      </c>
      <c r="S101" s="432">
        <f>+'Zał.1_WPF_bazowy'!R101</f>
        <v>0</v>
      </c>
      <c r="T101" s="432">
        <f>+'Zał.1_WPF_bazowy'!S101</f>
        <v>0</v>
      </c>
      <c r="U101" s="432">
        <f>+'Zał.1_WPF_bazowy'!T101</f>
        <v>0</v>
      </c>
      <c r="V101" s="432">
        <f>+'Zał.1_WPF_bazowy'!U101</f>
        <v>0</v>
      </c>
      <c r="W101" s="432">
        <f>+'Zał.1_WPF_bazowy'!V101</f>
        <v>0</v>
      </c>
      <c r="X101" s="432">
        <f>+'Zał.1_WPF_bazowy'!W101</f>
        <v>0</v>
      </c>
      <c r="Y101" s="432">
        <f>+'Zał.1_WPF_bazowy'!X101</f>
        <v>0</v>
      </c>
      <c r="Z101" s="432">
        <f>+'Zał.1_WPF_bazowy'!Y101</f>
        <v>0</v>
      </c>
      <c r="AA101" s="432">
        <f>+'Zał.1_WPF_bazowy'!Z101</f>
        <v>0</v>
      </c>
      <c r="AB101" s="432">
        <f>+'Zał.1_WPF_bazowy'!AA101</f>
        <v>0</v>
      </c>
      <c r="AC101" s="432">
        <f>+'Zał.1_WPF_bazowy'!AB101</f>
        <v>0</v>
      </c>
      <c r="AD101" s="432">
        <f>+'Zał.1_WPF_bazowy'!AC101</f>
        <v>0</v>
      </c>
      <c r="AE101" s="432">
        <f>+'Zał.1_WPF_bazowy'!AD101</f>
        <v>0</v>
      </c>
      <c r="AF101" s="432">
        <f>+'Zał.1_WPF_bazowy'!AE101</f>
        <v>0</v>
      </c>
      <c r="AG101" s="432">
        <f>+'Zał.1_WPF_bazowy'!AF101</f>
        <v>0</v>
      </c>
      <c r="AH101" s="432">
        <f>+'Zał.1_WPF_bazowy'!AG101</f>
        <v>0</v>
      </c>
      <c r="AI101" s="432">
        <f>+'Zał.1_WPF_bazowy'!AH101</f>
        <v>0</v>
      </c>
      <c r="AJ101" s="432">
        <f>+'Zał.1_WPF_bazowy'!AI101</f>
        <v>0</v>
      </c>
      <c r="AK101" s="432">
        <f>+'Zał.1_WPF_bazowy'!AJ101</f>
        <v>0</v>
      </c>
      <c r="AL101" s="432">
        <f>+'Zał.1_WPF_bazowy'!AK101</f>
        <v>0</v>
      </c>
      <c r="AM101" s="432">
        <f>+'Zał.1_WPF_bazowy'!AL101</f>
        <v>0</v>
      </c>
      <c r="AN101" s="433">
        <f>+'Zał.1_WPF_bazowy'!AM101</f>
        <v>0</v>
      </c>
    </row>
    <row r="102" spans="1:40" ht="24" customHeight="1" outlineLevel="2">
      <c r="A102" s="185" t="s">
        <v>163</v>
      </c>
      <c r="B102" s="351"/>
      <c r="C102" s="187"/>
      <c r="D102" s="188"/>
      <c r="E102" s="647" t="s">
        <v>289</v>
      </c>
      <c r="F102" s="647"/>
      <c r="G102" s="328">
        <f>'Zał.1_WPF_bazowy'!F102</f>
        <v>0</v>
      </c>
      <c r="H102" s="329">
        <f>'Zał.1_WPF_bazowy'!G102</f>
        <v>0</v>
      </c>
      <c r="I102" s="329">
        <f>'Zał.1_WPF_bazowy'!H102</f>
        <v>0</v>
      </c>
      <c r="J102" s="430">
        <f>'Zał.1_WPF_bazowy'!I102</f>
        <v>0</v>
      </c>
      <c r="K102" s="431">
        <f>+'Zał.1_WPF_bazowy'!J102</f>
        <v>0</v>
      </c>
      <c r="L102" s="432">
        <f>+'Zał.1_WPF_bazowy'!K102</f>
        <v>0</v>
      </c>
      <c r="M102" s="432">
        <f>+'Zał.1_WPF_bazowy'!L102</f>
        <v>0</v>
      </c>
      <c r="N102" s="432">
        <f>+'Zał.1_WPF_bazowy'!M102</f>
        <v>0</v>
      </c>
      <c r="O102" s="432">
        <f>+'Zał.1_WPF_bazowy'!N102</f>
        <v>0</v>
      </c>
      <c r="P102" s="432">
        <f>+'Zał.1_WPF_bazowy'!O102</f>
        <v>0</v>
      </c>
      <c r="Q102" s="432">
        <f>+'Zał.1_WPF_bazowy'!P102</f>
        <v>0</v>
      </c>
      <c r="R102" s="432">
        <f>+'Zał.1_WPF_bazowy'!Q102</f>
        <v>0</v>
      </c>
      <c r="S102" s="432">
        <f>+'Zał.1_WPF_bazowy'!R102</f>
        <v>0</v>
      </c>
      <c r="T102" s="432">
        <f>+'Zał.1_WPF_bazowy'!S102</f>
        <v>0</v>
      </c>
      <c r="U102" s="432">
        <f>+'Zał.1_WPF_bazowy'!T102</f>
        <v>0</v>
      </c>
      <c r="V102" s="432">
        <f>+'Zał.1_WPF_bazowy'!U102</f>
        <v>0</v>
      </c>
      <c r="W102" s="432">
        <f>+'Zał.1_WPF_bazowy'!V102</f>
        <v>0</v>
      </c>
      <c r="X102" s="432">
        <f>+'Zał.1_WPF_bazowy'!W102</f>
        <v>0</v>
      </c>
      <c r="Y102" s="432">
        <f>+'Zał.1_WPF_bazowy'!X102</f>
        <v>0</v>
      </c>
      <c r="Z102" s="432">
        <f>+'Zał.1_WPF_bazowy'!Y102</f>
        <v>0</v>
      </c>
      <c r="AA102" s="432">
        <f>+'Zał.1_WPF_bazowy'!Z102</f>
        <v>0</v>
      </c>
      <c r="AB102" s="432">
        <f>+'Zał.1_WPF_bazowy'!AA102</f>
        <v>0</v>
      </c>
      <c r="AC102" s="432">
        <f>+'Zał.1_WPF_bazowy'!AB102</f>
        <v>0</v>
      </c>
      <c r="AD102" s="432">
        <f>+'Zał.1_WPF_bazowy'!AC102</f>
        <v>0</v>
      </c>
      <c r="AE102" s="432">
        <f>+'Zał.1_WPF_bazowy'!AD102</f>
        <v>0</v>
      </c>
      <c r="AF102" s="432">
        <f>+'Zał.1_WPF_bazowy'!AE102</f>
        <v>0</v>
      </c>
      <c r="AG102" s="432">
        <f>+'Zał.1_WPF_bazowy'!AF102</f>
        <v>0</v>
      </c>
      <c r="AH102" s="432">
        <f>+'Zał.1_WPF_bazowy'!AG102</f>
        <v>0</v>
      </c>
      <c r="AI102" s="432">
        <f>+'Zał.1_WPF_bazowy'!AH102</f>
        <v>0</v>
      </c>
      <c r="AJ102" s="432">
        <f>+'Zał.1_WPF_bazowy'!AI102</f>
        <v>0</v>
      </c>
      <c r="AK102" s="432">
        <f>+'Zał.1_WPF_bazowy'!AJ102</f>
        <v>0</v>
      </c>
      <c r="AL102" s="432">
        <f>+'Zał.1_WPF_bazowy'!AK102</f>
        <v>0</v>
      </c>
      <c r="AM102" s="432">
        <f>+'Zał.1_WPF_bazowy'!AL102</f>
        <v>0</v>
      </c>
      <c r="AN102" s="433">
        <f>+'Zał.1_WPF_bazowy'!AM102</f>
        <v>0</v>
      </c>
    </row>
    <row r="103" spans="1:40" ht="14.25" outlineLevel="2">
      <c r="A103" s="185" t="s">
        <v>165</v>
      </c>
      <c r="B103" s="351"/>
      <c r="C103" s="187"/>
      <c r="D103" s="188"/>
      <c r="E103" s="647" t="s">
        <v>290</v>
      </c>
      <c r="F103" s="647"/>
      <c r="G103" s="328">
        <f>'Zał.1_WPF_bazowy'!F103</f>
        <v>0</v>
      </c>
      <c r="H103" s="329">
        <f>'Zał.1_WPF_bazowy'!G103</f>
        <v>0</v>
      </c>
      <c r="I103" s="329">
        <f>'Zał.1_WPF_bazowy'!H103</f>
        <v>0</v>
      </c>
      <c r="J103" s="430">
        <f>'Zał.1_WPF_bazowy'!I103</f>
        <v>0</v>
      </c>
      <c r="K103" s="431">
        <f>+'Zał.1_WPF_bazowy'!J103</f>
        <v>0</v>
      </c>
      <c r="L103" s="432">
        <f>+'Zał.1_WPF_bazowy'!K103</f>
        <v>0</v>
      </c>
      <c r="M103" s="432">
        <f>+'Zał.1_WPF_bazowy'!L103</f>
        <v>0</v>
      </c>
      <c r="N103" s="432">
        <f>+'Zał.1_WPF_bazowy'!M103</f>
        <v>0</v>
      </c>
      <c r="O103" s="432">
        <f>+'Zał.1_WPF_bazowy'!N103</f>
        <v>0</v>
      </c>
      <c r="P103" s="432">
        <f>+'Zał.1_WPF_bazowy'!O103</f>
        <v>0</v>
      </c>
      <c r="Q103" s="432">
        <f>+'Zał.1_WPF_bazowy'!P103</f>
        <v>0</v>
      </c>
      <c r="R103" s="432">
        <f>+'Zał.1_WPF_bazowy'!Q103</f>
        <v>0</v>
      </c>
      <c r="S103" s="432">
        <f>+'Zał.1_WPF_bazowy'!R103</f>
        <v>0</v>
      </c>
      <c r="T103" s="432">
        <f>+'Zał.1_WPF_bazowy'!S103</f>
        <v>0</v>
      </c>
      <c r="U103" s="432">
        <f>+'Zał.1_WPF_bazowy'!T103</f>
        <v>0</v>
      </c>
      <c r="V103" s="432">
        <f>+'Zał.1_WPF_bazowy'!U103</f>
        <v>0</v>
      </c>
      <c r="W103" s="432">
        <f>+'Zał.1_WPF_bazowy'!V103</f>
        <v>0</v>
      </c>
      <c r="X103" s="432">
        <f>+'Zał.1_WPF_bazowy'!W103</f>
        <v>0</v>
      </c>
      <c r="Y103" s="432">
        <f>+'Zał.1_WPF_bazowy'!X103</f>
        <v>0</v>
      </c>
      <c r="Z103" s="432">
        <f>+'Zał.1_WPF_bazowy'!Y103</f>
        <v>0</v>
      </c>
      <c r="AA103" s="432">
        <f>+'Zał.1_WPF_bazowy'!Z103</f>
        <v>0</v>
      </c>
      <c r="AB103" s="432">
        <f>+'Zał.1_WPF_bazowy'!AA103</f>
        <v>0</v>
      </c>
      <c r="AC103" s="432">
        <f>+'Zał.1_WPF_bazowy'!AB103</f>
        <v>0</v>
      </c>
      <c r="AD103" s="432">
        <f>+'Zał.1_WPF_bazowy'!AC103</f>
        <v>0</v>
      </c>
      <c r="AE103" s="432">
        <f>+'Zał.1_WPF_bazowy'!AD103</f>
        <v>0</v>
      </c>
      <c r="AF103" s="432">
        <f>+'Zał.1_WPF_bazowy'!AE103</f>
        <v>0</v>
      </c>
      <c r="AG103" s="432">
        <f>+'Zał.1_WPF_bazowy'!AF103</f>
        <v>0</v>
      </c>
      <c r="AH103" s="432">
        <f>+'Zał.1_WPF_bazowy'!AG103</f>
        <v>0</v>
      </c>
      <c r="AI103" s="432">
        <f>+'Zał.1_WPF_bazowy'!AH103</f>
        <v>0</v>
      </c>
      <c r="AJ103" s="432">
        <f>+'Zał.1_WPF_bazowy'!AI103</f>
        <v>0</v>
      </c>
      <c r="AK103" s="432">
        <f>+'Zał.1_WPF_bazowy'!AJ103</f>
        <v>0</v>
      </c>
      <c r="AL103" s="432">
        <f>+'Zał.1_WPF_bazowy'!AK103</f>
        <v>0</v>
      </c>
      <c r="AM103" s="432">
        <f>+'Zał.1_WPF_bazowy'!AL103</f>
        <v>0</v>
      </c>
      <c r="AN103" s="433">
        <f>+'Zał.1_WPF_bazowy'!AM103</f>
        <v>0</v>
      </c>
    </row>
    <row r="104" spans="1:40" ht="24" customHeight="1" outlineLevel="2">
      <c r="A104" s="194" t="s">
        <v>214</v>
      </c>
      <c r="B104" s="352"/>
      <c r="C104" s="195"/>
      <c r="D104" s="653" t="s">
        <v>291</v>
      </c>
      <c r="E104" s="653"/>
      <c r="F104" s="653"/>
      <c r="G104" s="336">
        <f>'Zał.1_WPF_bazowy'!F104</f>
        <v>0</v>
      </c>
      <c r="H104" s="337">
        <f>'Zał.1_WPF_bazowy'!G104</f>
        <v>0</v>
      </c>
      <c r="I104" s="337">
        <f>'Zał.1_WPF_bazowy'!H104</f>
        <v>0</v>
      </c>
      <c r="J104" s="449">
        <f>'Zał.1_WPF_bazowy'!I104</f>
        <v>210000</v>
      </c>
      <c r="K104" s="450">
        <f>+'Zał.1_WPF_bazowy'!J104</f>
        <v>0</v>
      </c>
      <c r="L104" s="451">
        <f>+'Zał.1_WPF_bazowy'!K104</f>
        <v>0</v>
      </c>
      <c r="M104" s="451">
        <f>+'Zał.1_WPF_bazowy'!L104</f>
        <v>0</v>
      </c>
      <c r="N104" s="451">
        <f>+'Zał.1_WPF_bazowy'!M104</f>
        <v>0</v>
      </c>
      <c r="O104" s="451">
        <f>+'Zał.1_WPF_bazowy'!N104</f>
        <v>0</v>
      </c>
      <c r="P104" s="451">
        <f>+'Zał.1_WPF_bazowy'!O104</f>
        <v>0</v>
      </c>
      <c r="Q104" s="451">
        <f>+'Zał.1_WPF_bazowy'!P104</f>
        <v>0</v>
      </c>
      <c r="R104" s="451">
        <f>+'Zał.1_WPF_bazowy'!Q104</f>
        <v>0</v>
      </c>
      <c r="S104" s="451">
        <f>+'Zał.1_WPF_bazowy'!R104</f>
        <v>0</v>
      </c>
      <c r="T104" s="451">
        <f>+'Zał.1_WPF_bazowy'!S104</f>
        <v>0</v>
      </c>
      <c r="U104" s="451">
        <f>+'Zał.1_WPF_bazowy'!T104</f>
        <v>0</v>
      </c>
      <c r="V104" s="451">
        <f>+'Zał.1_WPF_bazowy'!U104</f>
        <v>0</v>
      </c>
      <c r="W104" s="451">
        <f>+'Zał.1_WPF_bazowy'!V104</f>
        <v>0</v>
      </c>
      <c r="X104" s="451">
        <f>+'Zał.1_WPF_bazowy'!W104</f>
        <v>0</v>
      </c>
      <c r="Y104" s="451">
        <f>+'Zał.1_WPF_bazowy'!X104</f>
        <v>0</v>
      </c>
      <c r="Z104" s="451">
        <f>+'Zał.1_WPF_bazowy'!Y104</f>
        <v>0</v>
      </c>
      <c r="AA104" s="451">
        <f>+'Zał.1_WPF_bazowy'!Z104</f>
        <v>0</v>
      </c>
      <c r="AB104" s="451">
        <f>+'Zał.1_WPF_bazowy'!AA104</f>
        <v>0</v>
      </c>
      <c r="AC104" s="451">
        <f>+'Zał.1_WPF_bazowy'!AB104</f>
        <v>0</v>
      </c>
      <c r="AD104" s="451">
        <f>+'Zał.1_WPF_bazowy'!AC104</f>
        <v>0</v>
      </c>
      <c r="AE104" s="451">
        <f>+'Zał.1_WPF_bazowy'!AD104</f>
        <v>0</v>
      </c>
      <c r="AF104" s="451">
        <f>+'Zał.1_WPF_bazowy'!AE104</f>
        <v>0</v>
      </c>
      <c r="AG104" s="451">
        <f>+'Zał.1_WPF_bazowy'!AF104</f>
        <v>0</v>
      </c>
      <c r="AH104" s="451">
        <f>+'Zał.1_WPF_bazowy'!AG104</f>
        <v>0</v>
      </c>
      <c r="AI104" s="451">
        <f>+'Zał.1_WPF_bazowy'!AH104</f>
        <v>0</v>
      </c>
      <c r="AJ104" s="451">
        <f>+'Zał.1_WPF_bazowy'!AI104</f>
        <v>0</v>
      </c>
      <c r="AK104" s="451">
        <f>+'Zał.1_WPF_bazowy'!AJ104</f>
        <v>0</v>
      </c>
      <c r="AL104" s="451">
        <f>+'Zał.1_WPF_bazowy'!AK104</f>
        <v>0</v>
      </c>
      <c r="AM104" s="451">
        <f>+'Zał.1_WPF_bazowy'!AL104</f>
        <v>0</v>
      </c>
      <c r="AN104" s="452">
        <f>+'Zał.1_WPF_bazowy'!AM104</f>
        <v>0</v>
      </c>
    </row>
    <row r="105" spans="1:40" ht="14.25">
      <c r="A105" s="163"/>
      <c r="B105" s="163"/>
      <c r="C105" s="163"/>
      <c r="D105" s="163"/>
      <c r="E105" s="163"/>
      <c r="F105" s="163"/>
      <c r="G105" s="453"/>
      <c r="H105" s="453"/>
      <c r="I105" s="453"/>
      <c r="J105" s="453"/>
      <c r="K105" s="453"/>
      <c r="L105" s="453"/>
      <c r="M105" s="453"/>
      <c r="N105" s="453"/>
      <c r="O105" s="453"/>
      <c r="P105" s="453"/>
      <c r="Q105" s="453"/>
      <c r="R105" s="453"/>
      <c r="S105" s="453"/>
      <c r="T105" s="453"/>
      <c r="U105" s="453"/>
      <c r="V105" s="453"/>
      <c r="W105" s="453"/>
      <c r="X105" s="453"/>
      <c r="Y105" s="453"/>
      <c r="Z105" s="453"/>
      <c r="AA105" s="453"/>
      <c r="AB105" s="453"/>
      <c r="AC105" s="453"/>
      <c r="AD105" s="453"/>
      <c r="AE105" s="453"/>
      <c r="AF105" s="453"/>
      <c r="AG105" s="453"/>
      <c r="AH105" s="453"/>
      <c r="AI105" s="453"/>
      <c r="AJ105" s="453"/>
      <c r="AK105" s="453"/>
      <c r="AL105" s="453"/>
      <c r="AM105" s="453"/>
      <c r="AN105" s="453"/>
    </row>
    <row r="106" spans="1:40" ht="14.25">
      <c r="A106" s="163"/>
      <c r="B106" s="163"/>
      <c r="C106" s="163"/>
      <c r="D106" s="163"/>
      <c r="E106" s="163"/>
      <c r="F106" s="16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  <c r="AB106" s="453"/>
      <c r="AC106" s="453"/>
      <c r="AD106" s="453"/>
      <c r="AE106" s="453"/>
      <c r="AF106" s="453"/>
      <c r="AG106" s="453"/>
      <c r="AH106" s="453"/>
      <c r="AI106" s="453"/>
      <c r="AJ106" s="453"/>
      <c r="AK106" s="453"/>
      <c r="AL106" s="453"/>
      <c r="AM106" s="453"/>
      <c r="AN106" s="453"/>
    </row>
    <row r="107" spans="1:40" ht="14.25">
      <c r="A107" s="163"/>
      <c r="B107" s="163"/>
      <c r="C107" s="163"/>
      <c r="D107" s="163"/>
      <c r="E107" s="163"/>
      <c r="F107" s="163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3"/>
      <c r="AC107" s="453"/>
      <c r="AD107" s="453"/>
      <c r="AE107" s="453"/>
      <c r="AF107" s="453"/>
      <c r="AG107" s="453"/>
      <c r="AH107" s="453"/>
      <c r="AI107" s="453"/>
      <c r="AJ107" s="453"/>
      <c r="AK107" s="453"/>
      <c r="AL107" s="453"/>
      <c r="AM107" s="453"/>
      <c r="AN107" s="453"/>
    </row>
    <row r="108" spans="1:40" ht="14.25">
      <c r="A108" s="200"/>
      <c r="B108" s="200"/>
      <c r="C108" s="163"/>
      <c r="D108" s="163"/>
      <c r="E108" s="163"/>
      <c r="G108" s="454"/>
      <c r="H108" s="454"/>
      <c r="I108" s="454"/>
      <c r="J108" s="454"/>
      <c r="K108" s="453"/>
      <c r="L108" s="453"/>
      <c r="M108" s="453"/>
      <c r="N108" s="453"/>
      <c r="O108" s="453"/>
      <c r="P108" s="453"/>
      <c r="Q108" s="453"/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  <c r="AB108" s="453"/>
      <c r="AC108" s="453"/>
      <c r="AD108" s="453"/>
      <c r="AE108" s="453"/>
      <c r="AF108" s="453"/>
      <c r="AG108" s="453"/>
      <c r="AH108" s="453"/>
      <c r="AI108" s="453"/>
      <c r="AJ108" s="453"/>
      <c r="AK108" s="453"/>
      <c r="AL108" s="453"/>
      <c r="AM108" s="453"/>
      <c r="AN108" s="453"/>
    </row>
    <row r="109" spans="1:40" ht="14.25">
      <c r="A109" s="200"/>
      <c r="B109" s="200"/>
      <c r="C109" s="163"/>
      <c r="D109" s="163"/>
      <c r="E109" s="163"/>
      <c r="G109" s="454"/>
      <c r="H109" s="454"/>
      <c r="I109" s="454"/>
      <c r="J109" s="454"/>
      <c r="K109" s="453"/>
      <c r="L109" s="453"/>
      <c r="M109" s="453"/>
      <c r="N109" s="453"/>
      <c r="O109" s="453"/>
      <c r="P109" s="453"/>
      <c r="Q109" s="453"/>
      <c r="R109" s="453"/>
      <c r="S109" s="453"/>
      <c r="T109" s="453"/>
      <c r="U109" s="453"/>
      <c r="V109" s="453"/>
      <c r="W109" s="453"/>
      <c r="X109" s="453"/>
      <c r="Y109" s="453"/>
      <c r="Z109" s="453"/>
      <c r="AA109" s="453"/>
      <c r="AB109" s="453"/>
      <c r="AC109" s="453"/>
      <c r="AD109" s="453"/>
      <c r="AE109" s="453"/>
      <c r="AF109" s="453"/>
      <c r="AG109" s="453"/>
      <c r="AH109" s="453"/>
      <c r="AI109" s="453"/>
      <c r="AJ109" s="453"/>
      <c r="AK109" s="453"/>
      <c r="AL109" s="453"/>
      <c r="AM109" s="453"/>
      <c r="AN109" s="453"/>
    </row>
    <row r="110" spans="1:40" ht="15">
      <c r="A110" s="201" t="s">
        <v>406</v>
      </c>
      <c r="B110" s="201"/>
      <c r="C110" s="201"/>
      <c r="D110" s="201"/>
      <c r="E110" s="201"/>
      <c r="F110" s="201"/>
      <c r="G110" s="455"/>
      <c r="H110" s="455"/>
      <c r="I110" s="455"/>
      <c r="J110" s="454"/>
      <c r="K110" s="453"/>
      <c r="L110" s="453"/>
      <c r="M110" s="453"/>
      <c r="N110" s="453"/>
      <c r="O110" s="453"/>
      <c r="P110" s="453"/>
      <c r="Q110" s="453"/>
      <c r="R110" s="453"/>
      <c r="S110" s="453"/>
      <c r="T110" s="453"/>
      <c r="U110" s="453"/>
      <c r="V110" s="453"/>
      <c r="W110" s="453"/>
      <c r="X110" s="453"/>
      <c r="Y110" s="453"/>
      <c r="Z110" s="453"/>
      <c r="AA110" s="453"/>
      <c r="AB110" s="453"/>
      <c r="AC110" s="453"/>
      <c r="AD110" s="453"/>
      <c r="AE110" s="453"/>
      <c r="AF110" s="453"/>
      <c r="AG110" s="453"/>
      <c r="AH110" s="453"/>
      <c r="AI110" s="453"/>
      <c r="AJ110" s="453"/>
      <c r="AK110" s="453"/>
      <c r="AL110" s="453"/>
      <c r="AM110" s="453"/>
      <c r="AN110" s="453"/>
    </row>
    <row r="111" spans="1:40" ht="14.25" outlineLevel="1">
      <c r="A111" s="203"/>
      <c r="B111" s="203"/>
      <c r="C111" s="203"/>
      <c r="D111" s="203"/>
      <c r="E111" s="203"/>
      <c r="F111" s="204" t="s">
        <v>407</v>
      </c>
      <c r="G111" s="454"/>
      <c r="H111" s="454"/>
      <c r="I111" s="454"/>
      <c r="J111" s="454"/>
      <c r="K111" s="453"/>
      <c r="L111" s="453"/>
      <c r="M111" s="453"/>
      <c r="N111" s="453"/>
      <c r="O111" s="453"/>
      <c r="P111" s="453"/>
      <c r="Q111" s="453"/>
      <c r="R111" s="453"/>
      <c r="S111" s="453"/>
      <c r="T111" s="453"/>
      <c r="U111" s="453"/>
      <c r="V111" s="453"/>
      <c r="W111" s="453"/>
      <c r="X111" s="453"/>
      <c r="Y111" s="453"/>
      <c r="Z111" s="453"/>
      <c r="AA111" s="453"/>
      <c r="AB111" s="453"/>
      <c r="AC111" s="453"/>
      <c r="AD111" s="453"/>
      <c r="AE111" s="453"/>
      <c r="AF111" s="453"/>
      <c r="AG111" s="453"/>
      <c r="AH111" s="453"/>
      <c r="AI111" s="453"/>
      <c r="AJ111" s="453"/>
      <c r="AK111" s="453"/>
      <c r="AL111" s="453"/>
      <c r="AM111" s="453"/>
      <c r="AN111" s="453"/>
    </row>
    <row r="112" spans="1:40" ht="14.25" outlineLevel="1">
      <c r="A112" s="203"/>
      <c r="B112" s="203"/>
      <c r="C112" s="203"/>
      <c r="D112" s="203"/>
      <c r="E112" s="203"/>
      <c r="F112" s="205" t="s">
        <v>408</v>
      </c>
      <c r="G112" s="454"/>
      <c r="H112" s="454"/>
      <c r="I112" s="454"/>
      <c r="J112" s="454"/>
      <c r="K112" s="453"/>
      <c r="L112" s="453"/>
      <c r="M112" s="453"/>
      <c r="N112" s="453"/>
      <c r="O112" s="453"/>
      <c r="P112" s="453"/>
      <c r="Q112" s="453"/>
      <c r="R112" s="453"/>
      <c r="S112" s="453"/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53"/>
      <c r="AH112" s="453"/>
      <c r="AI112" s="453"/>
      <c r="AJ112" s="453"/>
      <c r="AK112" s="453"/>
      <c r="AL112" s="453"/>
      <c r="AM112" s="453"/>
      <c r="AN112" s="453"/>
    </row>
    <row r="113" spans="1:40" ht="14.25" outlineLevel="1">
      <c r="A113" s="203"/>
      <c r="B113" s="203"/>
      <c r="C113" s="203"/>
      <c r="D113" s="203"/>
      <c r="E113" s="203"/>
      <c r="F113" s="206" t="s">
        <v>360</v>
      </c>
      <c r="G113" s="454"/>
      <c r="H113" s="454"/>
      <c r="I113" s="454"/>
      <c r="J113" s="454"/>
      <c r="K113" s="453"/>
      <c r="L113" s="453"/>
      <c r="M113" s="453"/>
      <c r="N113" s="453"/>
      <c r="O113" s="453"/>
      <c r="P113" s="453"/>
      <c r="Q113" s="453"/>
      <c r="R113" s="453"/>
      <c r="S113" s="453"/>
      <c r="T113" s="453"/>
      <c r="U113" s="453"/>
      <c r="V113" s="453"/>
      <c r="W113" s="453"/>
      <c r="X113" s="453"/>
      <c r="Y113" s="453"/>
      <c r="Z113" s="453"/>
      <c r="AA113" s="453"/>
      <c r="AB113" s="453"/>
      <c r="AC113" s="453"/>
      <c r="AD113" s="453"/>
      <c r="AE113" s="453"/>
      <c r="AF113" s="453"/>
      <c r="AG113" s="453"/>
      <c r="AH113" s="453"/>
      <c r="AI113" s="453"/>
      <c r="AJ113" s="453"/>
      <c r="AK113" s="453"/>
      <c r="AL113" s="453"/>
      <c r="AM113" s="453"/>
      <c r="AN113" s="453"/>
    </row>
    <row r="114" spans="1:40" ht="14.25" outlineLevel="1">
      <c r="A114" s="426"/>
      <c r="B114" s="426"/>
      <c r="C114" s="426"/>
      <c r="D114" s="426"/>
      <c r="E114" s="426"/>
      <c r="F114" s="424" t="s">
        <v>466</v>
      </c>
      <c r="G114" s="454"/>
      <c r="H114" s="454"/>
      <c r="I114" s="454"/>
      <c r="J114" s="454"/>
      <c r="K114" s="453"/>
      <c r="L114" s="453"/>
      <c r="M114" s="453"/>
      <c r="N114" s="453"/>
      <c r="O114" s="453"/>
      <c r="P114" s="453"/>
      <c r="Q114" s="453"/>
      <c r="R114" s="453"/>
      <c r="S114" s="453"/>
      <c r="T114" s="453"/>
      <c r="U114" s="453"/>
      <c r="V114" s="453"/>
      <c r="W114" s="453"/>
      <c r="X114" s="453"/>
      <c r="Y114" s="453"/>
      <c r="Z114" s="453"/>
      <c r="AA114" s="453"/>
      <c r="AB114" s="453"/>
      <c r="AC114" s="453"/>
      <c r="AD114" s="453"/>
      <c r="AE114" s="453"/>
      <c r="AF114" s="453"/>
      <c r="AG114" s="453"/>
      <c r="AH114" s="453"/>
      <c r="AI114" s="453"/>
      <c r="AJ114" s="453"/>
      <c r="AK114" s="453"/>
      <c r="AL114" s="453"/>
      <c r="AM114" s="453"/>
      <c r="AN114" s="453"/>
    </row>
    <row r="115" spans="1:40" ht="14.25" outlineLevel="2">
      <c r="A115" s="650" t="s">
        <v>306</v>
      </c>
      <c r="B115" s="651"/>
      <c r="C115" s="651"/>
      <c r="D115" s="651"/>
      <c r="E115" s="652"/>
      <c r="F115" s="425" t="s">
        <v>354</v>
      </c>
      <c r="G115" s="456"/>
      <c r="H115" s="457"/>
      <c r="I115" s="457"/>
      <c r="J115" s="458"/>
      <c r="K115" s="338" t="str">
        <f aca="true" t="shared" si="22" ref="K115:AN115">IF(K11+K31+K33&gt;=K22-K25,"TAK","NIE")</f>
        <v>TAK</v>
      </c>
      <c r="L115" s="339" t="str">
        <f t="shared" si="22"/>
        <v>TAK</v>
      </c>
      <c r="M115" s="339" t="str">
        <f t="shared" si="22"/>
        <v>TAK</v>
      </c>
      <c r="N115" s="339" t="str">
        <f t="shared" si="22"/>
        <v>TAK</v>
      </c>
      <c r="O115" s="339" t="str">
        <f t="shared" si="22"/>
        <v>TAK</v>
      </c>
      <c r="P115" s="339" t="str">
        <f t="shared" si="22"/>
        <v>TAK</v>
      </c>
      <c r="Q115" s="339" t="str">
        <f t="shared" si="22"/>
        <v>TAK</v>
      </c>
      <c r="R115" s="339" t="str">
        <f t="shared" si="22"/>
        <v>TAK</v>
      </c>
      <c r="S115" s="339" t="str">
        <f t="shared" si="22"/>
        <v>TAK</v>
      </c>
      <c r="T115" s="339" t="str">
        <f t="shared" si="22"/>
        <v>TAK</v>
      </c>
      <c r="U115" s="339" t="str">
        <f t="shared" si="22"/>
        <v>TAK</v>
      </c>
      <c r="V115" s="339" t="str">
        <f t="shared" si="22"/>
        <v>TAK</v>
      </c>
      <c r="W115" s="339" t="str">
        <f t="shared" si="22"/>
        <v>TAK</v>
      </c>
      <c r="X115" s="339" t="str">
        <f t="shared" si="22"/>
        <v>TAK</v>
      </c>
      <c r="Y115" s="339" t="str">
        <f t="shared" si="22"/>
        <v>TAK</v>
      </c>
      <c r="Z115" s="339" t="str">
        <f t="shared" si="22"/>
        <v>TAK</v>
      </c>
      <c r="AA115" s="339" t="str">
        <f t="shared" si="22"/>
        <v>TAK</v>
      </c>
      <c r="AB115" s="339" t="str">
        <f t="shared" si="22"/>
        <v>TAK</v>
      </c>
      <c r="AC115" s="339" t="str">
        <f t="shared" si="22"/>
        <v>TAK</v>
      </c>
      <c r="AD115" s="339" t="str">
        <f t="shared" si="22"/>
        <v>TAK</v>
      </c>
      <c r="AE115" s="339" t="str">
        <f t="shared" si="22"/>
        <v>TAK</v>
      </c>
      <c r="AF115" s="339" t="str">
        <f t="shared" si="22"/>
        <v>TAK</v>
      </c>
      <c r="AG115" s="339" t="str">
        <f t="shared" si="22"/>
        <v>TAK</v>
      </c>
      <c r="AH115" s="339" t="str">
        <f t="shared" si="22"/>
        <v>TAK</v>
      </c>
      <c r="AI115" s="339" t="str">
        <f t="shared" si="22"/>
        <v>TAK</v>
      </c>
      <c r="AJ115" s="339" t="str">
        <f t="shared" si="22"/>
        <v>TAK</v>
      </c>
      <c r="AK115" s="339" t="str">
        <f t="shared" si="22"/>
        <v>TAK</v>
      </c>
      <c r="AL115" s="339" t="str">
        <f t="shared" si="22"/>
        <v>TAK</v>
      </c>
      <c r="AM115" s="339" t="str">
        <f t="shared" si="22"/>
        <v>TAK</v>
      </c>
      <c r="AN115" s="340" t="str">
        <f t="shared" si="22"/>
        <v>TAK</v>
      </c>
    </row>
    <row r="116" spans="1:40" ht="14.25" outlineLevel="2">
      <c r="A116" s="641"/>
      <c r="B116" s="642"/>
      <c r="C116" s="642"/>
      <c r="D116" s="642"/>
      <c r="E116" s="643"/>
      <c r="F116" s="207" t="s">
        <v>299</v>
      </c>
      <c r="G116" s="459"/>
      <c r="H116" s="460"/>
      <c r="I116" s="460"/>
      <c r="J116" s="461"/>
      <c r="K116" s="341" t="str">
        <f>IF(K54&lt;=15%,"TAK","NIE")</f>
        <v>TAK</v>
      </c>
      <c r="L116" s="342" t="s">
        <v>31</v>
      </c>
      <c r="M116" s="342" t="s">
        <v>31</v>
      </c>
      <c r="N116" s="342" t="s">
        <v>31</v>
      </c>
      <c r="O116" s="342" t="s">
        <v>31</v>
      </c>
      <c r="P116" s="342" t="s">
        <v>31</v>
      </c>
      <c r="Q116" s="342" t="s">
        <v>31</v>
      </c>
      <c r="R116" s="342" t="s">
        <v>31</v>
      </c>
      <c r="S116" s="342" t="s">
        <v>31</v>
      </c>
      <c r="T116" s="342" t="s">
        <v>31</v>
      </c>
      <c r="U116" s="342" t="s">
        <v>31</v>
      </c>
      <c r="V116" s="342" t="s">
        <v>31</v>
      </c>
      <c r="W116" s="342" t="s">
        <v>31</v>
      </c>
      <c r="X116" s="342" t="s">
        <v>31</v>
      </c>
      <c r="Y116" s="342" t="s">
        <v>31</v>
      </c>
      <c r="Z116" s="342" t="s">
        <v>31</v>
      </c>
      <c r="AA116" s="342" t="s">
        <v>31</v>
      </c>
      <c r="AB116" s="342" t="s">
        <v>31</v>
      </c>
      <c r="AC116" s="342" t="s">
        <v>31</v>
      </c>
      <c r="AD116" s="342" t="s">
        <v>31</v>
      </c>
      <c r="AE116" s="342" t="s">
        <v>31</v>
      </c>
      <c r="AF116" s="342" t="s">
        <v>31</v>
      </c>
      <c r="AG116" s="342" t="s">
        <v>31</v>
      </c>
      <c r="AH116" s="342" t="s">
        <v>31</v>
      </c>
      <c r="AI116" s="342" t="s">
        <v>31</v>
      </c>
      <c r="AJ116" s="342" t="s">
        <v>31</v>
      </c>
      <c r="AK116" s="342" t="s">
        <v>31</v>
      </c>
      <c r="AL116" s="342" t="s">
        <v>31</v>
      </c>
      <c r="AM116" s="342" t="s">
        <v>31</v>
      </c>
      <c r="AN116" s="343" t="s">
        <v>31</v>
      </c>
    </row>
    <row r="117" spans="1:40" ht="14.25" outlineLevel="2">
      <c r="A117" s="641"/>
      <c r="B117" s="642"/>
      <c r="C117" s="642"/>
      <c r="D117" s="642"/>
      <c r="E117" s="643"/>
      <c r="F117" s="207" t="s">
        <v>300</v>
      </c>
      <c r="G117" s="459"/>
      <c r="H117" s="460"/>
      <c r="I117" s="460"/>
      <c r="J117" s="461"/>
      <c r="K117" s="341" t="str">
        <f>IF(K55&lt;=15%,"TAK","NIE")</f>
        <v>TAK</v>
      </c>
      <c r="L117" s="342" t="s">
        <v>31</v>
      </c>
      <c r="M117" s="342" t="s">
        <v>31</v>
      </c>
      <c r="N117" s="342" t="s">
        <v>31</v>
      </c>
      <c r="O117" s="342" t="s">
        <v>31</v>
      </c>
      <c r="P117" s="342" t="s">
        <v>31</v>
      </c>
      <c r="Q117" s="342" t="s">
        <v>31</v>
      </c>
      <c r="R117" s="342" t="s">
        <v>31</v>
      </c>
      <c r="S117" s="342" t="s">
        <v>31</v>
      </c>
      <c r="T117" s="342" t="s">
        <v>31</v>
      </c>
      <c r="U117" s="342" t="s">
        <v>31</v>
      </c>
      <c r="V117" s="342" t="s">
        <v>31</v>
      </c>
      <c r="W117" s="342" t="s">
        <v>31</v>
      </c>
      <c r="X117" s="342" t="s">
        <v>31</v>
      </c>
      <c r="Y117" s="342" t="s">
        <v>31</v>
      </c>
      <c r="Z117" s="342" t="s">
        <v>31</v>
      </c>
      <c r="AA117" s="342" t="s">
        <v>31</v>
      </c>
      <c r="AB117" s="342" t="s">
        <v>31</v>
      </c>
      <c r="AC117" s="342" t="s">
        <v>31</v>
      </c>
      <c r="AD117" s="342" t="s">
        <v>31</v>
      </c>
      <c r="AE117" s="342" t="s">
        <v>31</v>
      </c>
      <c r="AF117" s="342" t="s">
        <v>31</v>
      </c>
      <c r="AG117" s="342" t="s">
        <v>31</v>
      </c>
      <c r="AH117" s="342" t="s">
        <v>31</v>
      </c>
      <c r="AI117" s="342" t="s">
        <v>31</v>
      </c>
      <c r="AJ117" s="342" t="s">
        <v>31</v>
      </c>
      <c r="AK117" s="342" t="s">
        <v>31</v>
      </c>
      <c r="AL117" s="342" t="s">
        <v>31</v>
      </c>
      <c r="AM117" s="342" t="s">
        <v>31</v>
      </c>
      <c r="AN117" s="343" t="s">
        <v>31</v>
      </c>
    </row>
    <row r="118" spans="1:40" ht="14.25" outlineLevel="2">
      <c r="A118" s="641"/>
      <c r="B118" s="642"/>
      <c r="C118" s="642"/>
      <c r="D118" s="642"/>
      <c r="E118" s="643"/>
      <c r="F118" s="207" t="s">
        <v>409</v>
      </c>
      <c r="G118" s="459"/>
      <c r="H118" s="460"/>
      <c r="I118" s="460"/>
      <c r="J118" s="461"/>
      <c r="K118" s="341" t="str">
        <f>IF(K47&lt;=60%,"TAK","NIE")</f>
        <v>TAK</v>
      </c>
      <c r="L118" s="342" t="s">
        <v>31</v>
      </c>
      <c r="M118" s="342" t="s">
        <v>31</v>
      </c>
      <c r="N118" s="342" t="s">
        <v>31</v>
      </c>
      <c r="O118" s="342" t="s">
        <v>31</v>
      </c>
      <c r="P118" s="342" t="s">
        <v>31</v>
      </c>
      <c r="Q118" s="342" t="s">
        <v>31</v>
      </c>
      <c r="R118" s="342" t="s">
        <v>31</v>
      </c>
      <c r="S118" s="342" t="s">
        <v>31</v>
      </c>
      <c r="T118" s="342" t="s">
        <v>31</v>
      </c>
      <c r="U118" s="342" t="s">
        <v>31</v>
      </c>
      <c r="V118" s="342" t="s">
        <v>31</v>
      </c>
      <c r="W118" s="342" t="s">
        <v>31</v>
      </c>
      <c r="X118" s="342" t="s">
        <v>31</v>
      </c>
      <c r="Y118" s="342" t="s">
        <v>31</v>
      </c>
      <c r="Z118" s="342" t="s">
        <v>31</v>
      </c>
      <c r="AA118" s="342" t="s">
        <v>31</v>
      </c>
      <c r="AB118" s="342" t="s">
        <v>31</v>
      </c>
      <c r="AC118" s="342" t="s">
        <v>31</v>
      </c>
      <c r="AD118" s="342" t="s">
        <v>31</v>
      </c>
      <c r="AE118" s="342" t="s">
        <v>31</v>
      </c>
      <c r="AF118" s="342" t="s">
        <v>31</v>
      </c>
      <c r="AG118" s="342" t="s">
        <v>31</v>
      </c>
      <c r="AH118" s="342" t="s">
        <v>31</v>
      </c>
      <c r="AI118" s="342" t="s">
        <v>31</v>
      </c>
      <c r="AJ118" s="342" t="s">
        <v>31</v>
      </c>
      <c r="AK118" s="342" t="s">
        <v>31</v>
      </c>
      <c r="AL118" s="342" t="s">
        <v>31</v>
      </c>
      <c r="AM118" s="342" t="s">
        <v>31</v>
      </c>
      <c r="AN118" s="343" t="s">
        <v>31</v>
      </c>
    </row>
    <row r="119" spans="1:40" ht="14.25" outlineLevel="2">
      <c r="A119" s="641"/>
      <c r="B119" s="642"/>
      <c r="C119" s="642"/>
      <c r="D119" s="642"/>
      <c r="E119" s="643"/>
      <c r="F119" s="207" t="s">
        <v>301</v>
      </c>
      <c r="G119" s="459"/>
      <c r="H119" s="460"/>
      <c r="I119" s="460"/>
      <c r="J119" s="461"/>
      <c r="K119" s="341" t="str">
        <f>IF(K48&lt;=60%,"TAK","NIE")</f>
        <v>TAK</v>
      </c>
      <c r="L119" s="342" t="s">
        <v>31</v>
      </c>
      <c r="M119" s="342" t="s">
        <v>31</v>
      </c>
      <c r="N119" s="342" t="s">
        <v>31</v>
      </c>
      <c r="O119" s="342" t="s">
        <v>31</v>
      </c>
      <c r="P119" s="342" t="s">
        <v>31</v>
      </c>
      <c r="Q119" s="342" t="s">
        <v>31</v>
      </c>
      <c r="R119" s="342" t="s">
        <v>31</v>
      </c>
      <c r="S119" s="342" t="s">
        <v>31</v>
      </c>
      <c r="T119" s="342" t="s">
        <v>31</v>
      </c>
      <c r="U119" s="342" t="s">
        <v>31</v>
      </c>
      <c r="V119" s="342" t="s">
        <v>31</v>
      </c>
      <c r="W119" s="342" t="s">
        <v>31</v>
      </c>
      <c r="X119" s="342" t="s">
        <v>31</v>
      </c>
      <c r="Y119" s="342" t="s">
        <v>31</v>
      </c>
      <c r="Z119" s="342" t="s">
        <v>31</v>
      </c>
      <c r="AA119" s="342" t="s">
        <v>31</v>
      </c>
      <c r="AB119" s="342" t="s">
        <v>31</v>
      </c>
      <c r="AC119" s="342" t="s">
        <v>31</v>
      </c>
      <c r="AD119" s="342" t="s">
        <v>31</v>
      </c>
      <c r="AE119" s="342" t="s">
        <v>31</v>
      </c>
      <c r="AF119" s="342" t="s">
        <v>31</v>
      </c>
      <c r="AG119" s="342" t="s">
        <v>31</v>
      </c>
      <c r="AH119" s="342" t="s">
        <v>31</v>
      </c>
      <c r="AI119" s="342" t="s">
        <v>31</v>
      </c>
      <c r="AJ119" s="342" t="s">
        <v>31</v>
      </c>
      <c r="AK119" s="342" t="s">
        <v>31</v>
      </c>
      <c r="AL119" s="342" t="s">
        <v>31</v>
      </c>
      <c r="AM119" s="342" t="s">
        <v>31</v>
      </c>
      <c r="AN119" s="343" t="s">
        <v>31</v>
      </c>
    </row>
    <row r="120" spans="1:40" ht="24" outlineLevel="2">
      <c r="A120" s="641" t="s">
        <v>302</v>
      </c>
      <c r="B120" s="642"/>
      <c r="C120" s="642"/>
      <c r="D120" s="642"/>
      <c r="E120" s="643"/>
      <c r="F120" s="207" t="s">
        <v>427</v>
      </c>
      <c r="G120" s="459"/>
      <c r="H120" s="460"/>
      <c r="I120" s="460"/>
      <c r="J120" s="461"/>
      <c r="K120" s="341" t="s">
        <v>31</v>
      </c>
      <c r="L120" s="342" t="s">
        <v>31</v>
      </c>
      <c r="M120" s="342" t="str">
        <f aca="true" t="shared" si="23" ref="M120:AN120">IF(M92=0,"TAK","BŁĄD")</f>
        <v>TAK</v>
      </c>
      <c r="N120" s="342" t="str">
        <f t="shared" si="23"/>
        <v>TAK</v>
      </c>
      <c r="O120" s="342" t="str">
        <f t="shared" si="23"/>
        <v>TAK</v>
      </c>
      <c r="P120" s="342" t="str">
        <f t="shared" si="23"/>
        <v>TAK</v>
      </c>
      <c r="Q120" s="342" t="str">
        <f t="shared" si="23"/>
        <v>TAK</v>
      </c>
      <c r="R120" s="342" t="str">
        <f t="shared" si="23"/>
        <v>TAK</v>
      </c>
      <c r="S120" s="342" t="str">
        <f t="shared" si="23"/>
        <v>TAK</v>
      </c>
      <c r="T120" s="342" t="str">
        <f t="shared" si="23"/>
        <v>TAK</v>
      </c>
      <c r="U120" s="342" t="str">
        <f t="shared" si="23"/>
        <v>TAK</v>
      </c>
      <c r="V120" s="342" t="str">
        <f t="shared" si="23"/>
        <v>TAK</v>
      </c>
      <c r="W120" s="342" t="str">
        <f t="shared" si="23"/>
        <v>TAK</v>
      </c>
      <c r="X120" s="342" t="str">
        <f t="shared" si="23"/>
        <v>TAK</v>
      </c>
      <c r="Y120" s="342" t="str">
        <f t="shared" si="23"/>
        <v>TAK</v>
      </c>
      <c r="Z120" s="342" t="str">
        <f t="shared" si="23"/>
        <v>TAK</v>
      </c>
      <c r="AA120" s="342" t="str">
        <f t="shared" si="23"/>
        <v>TAK</v>
      </c>
      <c r="AB120" s="342" t="str">
        <f t="shared" si="23"/>
        <v>TAK</v>
      </c>
      <c r="AC120" s="342" t="str">
        <f t="shared" si="23"/>
        <v>TAK</v>
      </c>
      <c r="AD120" s="342" t="str">
        <f t="shared" si="23"/>
        <v>TAK</v>
      </c>
      <c r="AE120" s="342" t="str">
        <f t="shared" si="23"/>
        <v>TAK</v>
      </c>
      <c r="AF120" s="342" t="str">
        <f t="shared" si="23"/>
        <v>TAK</v>
      </c>
      <c r="AG120" s="342" t="str">
        <f t="shared" si="23"/>
        <v>TAK</v>
      </c>
      <c r="AH120" s="342" t="str">
        <f t="shared" si="23"/>
        <v>TAK</v>
      </c>
      <c r="AI120" s="342" t="str">
        <f t="shared" si="23"/>
        <v>TAK</v>
      </c>
      <c r="AJ120" s="342" t="str">
        <f t="shared" si="23"/>
        <v>TAK</v>
      </c>
      <c r="AK120" s="342" t="str">
        <f t="shared" si="23"/>
        <v>TAK</v>
      </c>
      <c r="AL120" s="342" t="str">
        <f t="shared" si="23"/>
        <v>TAK</v>
      </c>
      <c r="AM120" s="342" t="str">
        <f t="shared" si="23"/>
        <v>TAK</v>
      </c>
      <c r="AN120" s="343" t="str">
        <f t="shared" si="23"/>
        <v>TAK</v>
      </c>
    </row>
    <row r="121" spans="1:40" ht="14.25" outlineLevel="2">
      <c r="A121" s="641" t="s">
        <v>303</v>
      </c>
      <c r="B121" s="642"/>
      <c r="C121" s="642"/>
      <c r="D121" s="642"/>
      <c r="E121" s="643"/>
      <c r="F121" s="208" t="s">
        <v>355</v>
      </c>
      <c r="G121" s="459"/>
      <c r="H121" s="460"/>
      <c r="I121" s="460"/>
      <c r="J121" s="461"/>
      <c r="K121" s="611" t="str">
        <f aca="true" t="shared" si="24" ref="K121:AN121">IF(K10+K30-K21-K39=0,"OK",K10+K30-K21-K39)</f>
        <v>OK</v>
      </c>
      <c r="L121" s="612" t="str">
        <f t="shared" si="24"/>
        <v>OK</v>
      </c>
      <c r="M121" s="612">
        <f t="shared" si="24"/>
        <v>-3.725290298461914E-09</v>
      </c>
      <c r="N121" s="612" t="str">
        <f t="shared" si="24"/>
        <v>OK</v>
      </c>
      <c r="O121" s="612" t="str">
        <f t="shared" si="24"/>
        <v>OK</v>
      </c>
      <c r="P121" s="612" t="str">
        <f t="shared" si="24"/>
        <v>OK</v>
      </c>
      <c r="Q121" s="612" t="str">
        <f t="shared" si="24"/>
        <v>OK</v>
      </c>
      <c r="R121" s="612">
        <f t="shared" si="24"/>
        <v>-2.8230715543031693E-09</v>
      </c>
      <c r="S121" s="612" t="str">
        <f t="shared" si="24"/>
        <v>OK</v>
      </c>
      <c r="T121" s="612" t="str">
        <f t="shared" si="24"/>
        <v>OK</v>
      </c>
      <c r="U121" s="612" t="str">
        <f t="shared" si="24"/>
        <v>OK</v>
      </c>
      <c r="V121" s="612" t="str">
        <f t="shared" si="24"/>
        <v>OK</v>
      </c>
      <c r="W121" s="612" t="str">
        <f t="shared" si="24"/>
        <v>OK</v>
      </c>
      <c r="X121" s="612" t="str">
        <f t="shared" si="24"/>
        <v>OK</v>
      </c>
      <c r="Y121" s="612" t="str">
        <f t="shared" si="24"/>
        <v>OK</v>
      </c>
      <c r="Z121" s="612" t="str">
        <f t="shared" si="24"/>
        <v>OK</v>
      </c>
      <c r="AA121" s="612" t="str">
        <f t="shared" si="24"/>
        <v>OK</v>
      </c>
      <c r="AB121" s="612" t="str">
        <f t="shared" si="24"/>
        <v>OK</v>
      </c>
      <c r="AC121" s="612" t="str">
        <f t="shared" si="24"/>
        <v>OK</v>
      </c>
      <c r="AD121" s="612" t="str">
        <f t="shared" si="24"/>
        <v>OK</v>
      </c>
      <c r="AE121" s="612" t="str">
        <f t="shared" si="24"/>
        <v>OK</v>
      </c>
      <c r="AF121" s="612" t="str">
        <f t="shared" si="24"/>
        <v>OK</v>
      </c>
      <c r="AG121" s="612" t="str">
        <f t="shared" si="24"/>
        <v>OK</v>
      </c>
      <c r="AH121" s="612" t="str">
        <f t="shared" si="24"/>
        <v>OK</v>
      </c>
      <c r="AI121" s="612" t="str">
        <f t="shared" si="24"/>
        <v>OK</v>
      </c>
      <c r="AJ121" s="612" t="str">
        <f t="shared" si="24"/>
        <v>OK</v>
      </c>
      <c r="AK121" s="612" t="str">
        <f t="shared" si="24"/>
        <v>OK</v>
      </c>
      <c r="AL121" s="612" t="str">
        <f t="shared" si="24"/>
        <v>OK</v>
      </c>
      <c r="AM121" s="612" t="str">
        <f t="shared" si="24"/>
        <v>OK</v>
      </c>
      <c r="AN121" s="613" t="str">
        <f t="shared" si="24"/>
        <v>OK</v>
      </c>
    </row>
    <row r="122" spans="1:40" ht="14.25" outlineLevel="2">
      <c r="A122" s="641" t="s">
        <v>305</v>
      </c>
      <c r="B122" s="642"/>
      <c r="C122" s="642"/>
      <c r="D122" s="642"/>
      <c r="E122" s="643"/>
      <c r="F122" s="208" t="s">
        <v>357</v>
      </c>
      <c r="G122" s="459"/>
      <c r="H122" s="460"/>
      <c r="I122" s="460"/>
      <c r="J122" s="461"/>
      <c r="K122" s="611" t="str">
        <f aca="true" t="shared" si="25" ref="K122:AN122">+IF(J44+K35-K40+(K49-J49)+(K99-J99)+K104-K44=0,"OK",J44+K35-K40+(K49-J49)+(K99-J99)+K104-K44)</f>
        <v>OK</v>
      </c>
      <c r="L122" s="612" t="str">
        <f t="shared" si="25"/>
        <v>OK</v>
      </c>
      <c r="M122" s="612" t="str">
        <f t="shared" si="25"/>
        <v>OK</v>
      </c>
      <c r="N122" s="612" t="str">
        <f t="shared" si="25"/>
        <v>OK</v>
      </c>
      <c r="O122" s="612" t="str">
        <f t="shared" si="25"/>
        <v>OK</v>
      </c>
      <c r="P122" s="612" t="str">
        <f t="shared" si="25"/>
        <v>OK</v>
      </c>
      <c r="Q122" s="612" t="str">
        <f t="shared" si="25"/>
        <v>OK</v>
      </c>
      <c r="R122" s="612" t="str">
        <f t="shared" si="25"/>
        <v>OK</v>
      </c>
      <c r="S122" s="612">
        <f t="shared" si="25"/>
        <v>-2.9103830456733704E-11</v>
      </c>
      <c r="T122" s="612" t="str">
        <f t="shared" si="25"/>
        <v>OK</v>
      </c>
      <c r="U122" s="612" t="str">
        <f t="shared" si="25"/>
        <v>OK</v>
      </c>
      <c r="V122" s="612" t="str">
        <f t="shared" si="25"/>
        <v>OK</v>
      </c>
      <c r="W122" s="612" t="str">
        <f t="shared" si="25"/>
        <v>OK</v>
      </c>
      <c r="X122" s="612" t="str">
        <f t="shared" si="25"/>
        <v>OK</v>
      </c>
      <c r="Y122" s="612" t="str">
        <f t="shared" si="25"/>
        <v>OK</v>
      </c>
      <c r="Z122" s="612" t="str">
        <f t="shared" si="25"/>
        <v>OK</v>
      </c>
      <c r="AA122" s="612" t="str">
        <f t="shared" si="25"/>
        <v>OK</v>
      </c>
      <c r="AB122" s="612" t="str">
        <f t="shared" si="25"/>
        <v>OK</v>
      </c>
      <c r="AC122" s="612" t="str">
        <f t="shared" si="25"/>
        <v>OK</v>
      </c>
      <c r="AD122" s="612" t="str">
        <f t="shared" si="25"/>
        <v>OK</v>
      </c>
      <c r="AE122" s="612" t="str">
        <f t="shared" si="25"/>
        <v>OK</v>
      </c>
      <c r="AF122" s="612" t="str">
        <f t="shared" si="25"/>
        <v>OK</v>
      </c>
      <c r="AG122" s="612" t="str">
        <f t="shared" si="25"/>
        <v>OK</v>
      </c>
      <c r="AH122" s="612" t="str">
        <f t="shared" si="25"/>
        <v>OK</v>
      </c>
      <c r="AI122" s="612" t="str">
        <f t="shared" si="25"/>
        <v>OK</v>
      </c>
      <c r="AJ122" s="612" t="str">
        <f t="shared" si="25"/>
        <v>OK</v>
      </c>
      <c r="AK122" s="612" t="str">
        <f t="shared" si="25"/>
        <v>OK</v>
      </c>
      <c r="AL122" s="612" t="str">
        <f t="shared" si="25"/>
        <v>OK</v>
      </c>
      <c r="AM122" s="612" t="str">
        <f t="shared" si="25"/>
        <v>OK</v>
      </c>
      <c r="AN122" s="613" t="str">
        <f t="shared" si="25"/>
        <v>OK</v>
      </c>
    </row>
    <row r="123" spans="1:40" ht="24" outlineLevel="2">
      <c r="A123" s="641" t="s">
        <v>460</v>
      </c>
      <c r="B123" s="642"/>
      <c r="C123" s="642"/>
      <c r="D123" s="642"/>
      <c r="E123" s="643"/>
      <c r="F123" s="99" t="s">
        <v>447</v>
      </c>
      <c r="G123" s="459"/>
      <c r="H123" s="460"/>
      <c r="I123" s="460"/>
      <c r="J123" s="461"/>
      <c r="K123" s="611" t="str">
        <f>+IF(J99-K100-K99=0,"OK",J99-K100-K99)</f>
        <v>OK</v>
      </c>
      <c r="L123" s="612" t="str">
        <f aca="true" t="shared" si="26" ref="L123:AN123">+IF(K99-L100-L99=0,"OK",K99-L100-L99)</f>
        <v>OK</v>
      </c>
      <c r="M123" s="612" t="str">
        <f t="shared" si="26"/>
        <v>OK</v>
      </c>
      <c r="N123" s="612" t="str">
        <f t="shared" si="26"/>
        <v>OK</v>
      </c>
      <c r="O123" s="612" t="str">
        <f t="shared" si="26"/>
        <v>OK</v>
      </c>
      <c r="P123" s="612" t="str">
        <f t="shared" si="26"/>
        <v>OK</v>
      </c>
      <c r="Q123" s="612" t="str">
        <f t="shared" si="26"/>
        <v>OK</v>
      </c>
      <c r="R123" s="612" t="str">
        <f t="shared" si="26"/>
        <v>OK</v>
      </c>
      <c r="S123" s="612" t="str">
        <f t="shared" si="26"/>
        <v>OK</v>
      </c>
      <c r="T123" s="612" t="str">
        <f t="shared" si="26"/>
        <v>OK</v>
      </c>
      <c r="U123" s="612" t="str">
        <f t="shared" si="26"/>
        <v>OK</v>
      </c>
      <c r="V123" s="612" t="str">
        <f t="shared" si="26"/>
        <v>OK</v>
      </c>
      <c r="W123" s="612" t="str">
        <f t="shared" si="26"/>
        <v>OK</v>
      </c>
      <c r="X123" s="612" t="str">
        <f t="shared" si="26"/>
        <v>OK</v>
      </c>
      <c r="Y123" s="612" t="str">
        <f t="shared" si="26"/>
        <v>OK</v>
      </c>
      <c r="Z123" s="612" t="str">
        <f t="shared" si="26"/>
        <v>OK</v>
      </c>
      <c r="AA123" s="612" t="str">
        <f t="shared" si="26"/>
        <v>OK</v>
      </c>
      <c r="AB123" s="612" t="str">
        <f t="shared" si="26"/>
        <v>OK</v>
      </c>
      <c r="AC123" s="612" t="str">
        <f t="shared" si="26"/>
        <v>OK</v>
      </c>
      <c r="AD123" s="612" t="str">
        <f t="shared" si="26"/>
        <v>OK</v>
      </c>
      <c r="AE123" s="612" t="str">
        <f t="shared" si="26"/>
        <v>OK</v>
      </c>
      <c r="AF123" s="612" t="str">
        <f t="shared" si="26"/>
        <v>OK</v>
      </c>
      <c r="AG123" s="612" t="str">
        <f t="shared" si="26"/>
        <v>OK</v>
      </c>
      <c r="AH123" s="612" t="str">
        <f t="shared" si="26"/>
        <v>OK</v>
      </c>
      <c r="AI123" s="612" t="str">
        <f t="shared" si="26"/>
        <v>OK</v>
      </c>
      <c r="AJ123" s="612" t="str">
        <f t="shared" si="26"/>
        <v>OK</v>
      </c>
      <c r="AK123" s="612" t="str">
        <f t="shared" si="26"/>
        <v>OK</v>
      </c>
      <c r="AL123" s="612" t="str">
        <f t="shared" si="26"/>
        <v>OK</v>
      </c>
      <c r="AM123" s="612" t="str">
        <f t="shared" si="26"/>
        <v>OK</v>
      </c>
      <c r="AN123" s="613" t="str">
        <f t="shared" si="26"/>
        <v>OK</v>
      </c>
    </row>
    <row r="124" spans="1:40" ht="36" outlineLevel="2">
      <c r="A124" s="641" t="s">
        <v>304</v>
      </c>
      <c r="B124" s="642"/>
      <c r="C124" s="642"/>
      <c r="D124" s="642"/>
      <c r="E124" s="643"/>
      <c r="F124" s="208" t="s">
        <v>356</v>
      </c>
      <c r="G124" s="459"/>
      <c r="H124" s="460"/>
      <c r="I124" s="460"/>
      <c r="J124" s="461"/>
      <c r="K124" s="611" t="str">
        <f aca="true" t="shared" si="27" ref="K124:AN124">IF(J90-(J92+J93+J94+J95)-K90=0,"OK",J90-(J92+J93+J94+J95)-K90)</f>
        <v>OK</v>
      </c>
      <c r="L124" s="612" t="str">
        <f t="shared" si="27"/>
        <v>OK</v>
      </c>
      <c r="M124" s="612" t="str">
        <f t="shared" si="27"/>
        <v>OK</v>
      </c>
      <c r="N124" s="612" t="str">
        <f t="shared" si="27"/>
        <v>OK</v>
      </c>
      <c r="O124" s="612" t="str">
        <f t="shared" si="27"/>
        <v>OK</v>
      </c>
      <c r="P124" s="612" t="str">
        <f t="shared" si="27"/>
        <v>OK</v>
      </c>
      <c r="Q124" s="612" t="str">
        <f t="shared" si="27"/>
        <v>OK</v>
      </c>
      <c r="R124" s="612" t="str">
        <f t="shared" si="27"/>
        <v>OK</v>
      </c>
      <c r="S124" s="612" t="str">
        <f t="shared" si="27"/>
        <v>OK</v>
      </c>
      <c r="T124" s="612" t="str">
        <f t="shared" si="27"/>
        <v>OK</v>
      </c>
      <c r="U124" s="612" t="str">
        <f t="shared" si="27"/>
        <v>OK</v>
      </c>
      <c r="V124" s="612" t="str">
        <f t="shared" si="27"/>
        <v>OK</v>
      </c>
      <c r="W124" s="612" t="str">
        <f t="shared" si="27"/>
        <v>OK</v>
      </c>
      <c r="X124" s="612" t="str">
        <f t="shared" si="27"/>
        <v>OK</v>
      </c>
      <c r="Y124" s="612" t="str">
        <f t="shared" si="27"/>
        <v>OK</v>
      </c>
      <c r="Z124" s="612" t="str">
        <f t="shared" si="27"/>
        <v>OK</v>
      </c>
      <c r="AA124" s="612" t="str">
        <f t="shared" si="27"/>
        <v>OK</v>
      </c>
      <c r="AB124" s="612" t="str">
        <f t="shared" si="27"/>
        <v>OK</v>
      </c>
      <c r="AC124" s="612" t="str">
        <f t="shared" si="27"/>
        <v>OK</v>
      </c>
      <c r="AD124" s="612" t="str">
        <f t="shared" si="27"/>
        <v>OK</v>
      </c>
      <c r="AE124" s="612" t="str">
        <f t="shared" si="27"/>
        <v>OK</v>
      </c>
      <c r="AF124" s="612" t="str">
        <f t="shared" si="27"/>
        <v>OK</v>
      </c>
      <c r="AG124" s="612" t="str">
        <f t="shared" si="27"/>
        <v>OK</v>
      </c>
      <c r="AH124" s="612" t="str">
        <f t="shared" si="27"/>
        <v>OK</v>
      </c>
      <c r="AI124" s="612" t="str">
        <f t="shared" si="27"/>
        <v>OK</v>
      </c>
      <c r="AJ124" s="612" t="str">
        <f t="shared" si="27"/>
        <v>OK</v>
      </c>
      <c r="AK124" s="612" t="str">
        <f t="shared" si="27"/>
        <v>OK</v>
      </c>
      <c r="AL124" s="612" t="str">
        <f t="shared" si="27"/>
        <v>OK</v>
      </c>
      <c r="AM124" s="612" t="str">
        <f t="shared" si="27"/>
        <v>OK</v>
      </c>
      <c r="AN124" s="613" t="str">
        <f t="shared" si="27"/>
        <v>OK</v>
      </c>
    </row>
    <row r="125" spans="1:40" ht="14.25" outlineLevel="2">
      <c r="A125" s="641" t="s">
        <v>307</v>
      </c>
      <c r="B125" s="642"/>
      <c r="C125" s="642"/>
      <c r="D125" s="642"/>
      <c r="E125" s="643"/>
      <c r="F125" s="209" t="s">
        <v>358</v>
      </c>
      <c r="G125" s="459"/>
      <c r="H125" s="460"/>
      <c r="I125" s="460"/>
      <c r="J125" s="461"/>
      <c r="K125" s="344" t="str">
        <f aca="true" t="shared" si="28" ref="K125:AN125">IF(K29&lt;0,IF(K32+K34+K36+K38+K29=0,"OK",K32+K34+K36+K38+K29),"N/D")</f>
        <v>OK</v>
      </c>
      <c r="L125" s="345" t="str">
        <f t="shared" si="28"/>
        <v>N/D</v>
      </c>
      <c r="M125" s="345" t="str">
        <f t="shared" si="28"/>
        <v>N/D</v>
      </c>
      <c r="N125" s="345" t="str">
        <f t="shared" si="28"/>
        <v>N/D</v>
      </c>
      <c r="O125" s="345" t="str">
        <f t="shared" si="28"/>
        <v>N/D</v>
      </c>
      <c r="P125" s="345" t="str">
        <f t="shared" si="28"/>
        <v>N/D</v>
      </c>
      <c r="Q125" s="345" t="str">
        <f t="shared" si="28"/>
        <v>N/D</v>
      </c>
      <c r="R125" s="345" t="str">
        <f t="shared" si="28"/>
        <v>N/D</v>
      </c>
      <c r="S125" s="345" t="str">
        <f t="shared" si="28"/>
        <v>N/D</v>
      </c>
      <c r="T125" s="345" t="str">
        <f t="shared" si="28"/>
        <v>N/D</v>
      </c>
      <c r="U125" s="345" t="str">
        <f t="shared" si="28"/>
        <v>N/D</v>
      </c>
      <c r="V125" s="345" t="str">
        <f t="shared" si="28"/>
        <v>N/D</v>
      </c>
      <c r="W125" s="345" t="str">
        <f t="shared" si="28"/>
        <v>N/D</v>
      </c>
      <c r="X125" s="345" t="str">
        <f t="shared" si="28"/>
        <v>N/D</v>
      </c>
      <c r="Y125" s="345" t="str">
        <f t="shared" si="28"/>
        <v>N/D</v>
      </c>
      <c r="Z125" s="345" t="str">
        <f t="shared" si="28"/>
        <v>N/D</v>
      </c>
      <c r="AA125" s="345" t="str">
        <f t="shared" si="28"/>
        <v>N/D</v>
      </c>
      <c r="AB125" s="345" t="str">
        <f t="shared" si="28"/>
        <v>N/D</v>
      </c>
      <c r="AC125" s="345" t="str">
        <f t="shared" si="28"/>
        <v>N/D</v>
      </c>
      <c r="AD125" s="345" t="str">
        <f t="shared" si="28"/>
        <v>N/D</v>
      </c>
      <c r="AE125" s="345" t="str">
        <f t="shared" si="28"/>
        <v>N/D</v>
      </c>
      <c r="AF125" s="345" t="str">
        <f t="shared" si="28"/>
        <v>N/D</v>
      </c>
      <c r="AG125" s="345" t="str">
        <f t="shared" si="28"/>
        <v>N/D</v>
      </c>
      <c r="AH125" s="345" t="str">
        <f t="shared" si="28"/>
        <v>N/D</v>
      </c>
      <c r="AI125" s="345" t="str">
        <f t="shared" si="28"/>
        <v>N/D</v>
      </c>
      <c r="AJ125" s="345" t="str">
        <f t="shared" si="28"/>
        <v>N/D</v>
      </c>
      <c r="AK125" s="345" t="str">
        <f t="shared" si="28"/>
        <v>N/D</v>
      </c>
      <c r="AL125" s="345" t="str">
        <f t="shared" si="28"/>
        <v>N/D</v>
      </c>
      <c r="AM125" s="345" t="str">
        <f t="shared" si="28"/>
        <v>N/D</v>
      </c>
      <c r="AN125" s="346" t="str">
        <f t="shared" si="28"/>
        <v>N/D</v>
      </c>
    </row>
    <row r="126" spans="1:40" ht="24" outlineLevel="2">
      <c r="A126" s="641" t="s">
        <v>308</v>
      </c>
      <c r="B126" s="642"/>
      <c r="C126" s="642"/>
      <c r="D126" s="642"/>
      <c r="E126" s="643"/>
      <c r="F126" s="209" t="s">
        <v>359</v>
      </c>
      <c r="G126" s="459"/>
      <c r="H126" s="460"/>
      <c r="I126" s="460"/>
      <c r="J126" s="461"/>
      <c r="K126" s="344" t="str">
        <f aca="true" t="shared" si="29" ref="K126:AN126">IF(K29&gt;=0,IF(K32+K34+K36+K38=0,"OK",K32+K34+K36+K38),"N/D")</f>
        <v>N/D</v>
      </c>
      <c r="L126" s="345" t="str">
        <f t="shared" si="29"/>
        <v>OK</v>
      </c>
      <c r="M126" s="345" t="str">
        <f t="shared" si="29"/>
        <v>OK</v>
      </c>
      <c r="N126" s="345" t="str">
        <f t="shared" si="29"/>
        <v>OK</v>
      </c>
      <c r="O126" s="345" t="str">
        <f t="shared" si="29"/>
        <v>OK</v>
      </c>
      <c r="P126" s="345" t="str">
        <f t="shared" si="29"/>
        <v>OK</v>
      </c>
      <c r="Q126" s="345" t="str">
        <f t="shared" si="29"/>
        <v>OK</v>
      </c>
      <c r="R126" s="345" t="str">
        <f t="shared" si="29"/>
        <v>OK</v>
      </c>
      <c r="S126" s="345" t="str">
        <f t="shared" si="29"/>
        <v>OK</v>
      </c>
      <c r="T126" s="345" t="str">
        <f t="shared" si="29"/>
        <v>OK</v>
      </c>
      <c r="U126" s="345" t="str">
        <f t="shared" si="29"/>
        <v>OK</v>
      </c>
      <c r="V126" s="345" t="str">
        <f t="shared" si="29"/>
        <v>OK</v>
      </c>
      <c r="W126" s="345" t="str">
        <f t="shared" si="29"/>
        <v>OK</v>
      </c>
      <c r="X126" s="345" t="str">
        <f t="shared" si="29"/>
        <v>OK</v>
      </c>
      <c r="Y126" s="345" t="str">
        <f t="shared" si="29"/>
        <v>OK</v>
      </c>
      <c r="Z126" s="345" t="str">
        <f t="shared" si="29"/>
        <v>OK</v>
      </c>
      <c r="AA126" s="345" t="str">
        <f t="shared" si="29"/>
        <v>OK</v>
      </c>
      <c r="AB126" s="345" t="str">
        <f t="shared" si="29"/>
        <v>OK</v>
      </c>
      <c r="AC126" s="345" t="str">
        <f t="shared" si="29"/>
        <v>OK</v>
      </c>
      <c r="AD126" s="345" t="str">
        <f t="shared" si="29"/>
        <v>OK</v>
      </c>
      <c r="AE126" s="345" t="str">
        <f t="shared" si="29"/>
        <v>OK</v>
      </c>
      <c r="AF126" s="345" t="str">
        <f t="shared" si="29"/>
        <v>OK</v>
      </c>
      <c r="AG126" s="345" t="str">
        <f t="shared" si="29"/>
        <v>OK</v>
      </c>
      <c r="AH126" s="345" t="str">
        <f t="shared" si="29"/>
        <v>OK</v>
      </c>
      <c r="AI126" s="345" t="str">
        <f t="shared" si="29"/>
        <v>OK</v>
      </c>
      <c r="AJ126" s="345" t="str">
        <f t="shared" si="29"/>
        <v>OK</v>
      </c>
      <c r="AK126" s="345" t="str">
        <f t="shared" si="29"/>
        <v>OK</v>
      </c>
      <c r="AL126" s="345" t="str">
        <f t="shared" si="29"/>
        <v>OK</v>
      </c>
      <c r="AM126" s="345" t="str">
        <f t="shared" si="29"/>
        <v>OK</v>
      </c>
      <c r="AN126" s="346" t="str">
        <f t="shared" si="29"/>
        <v>OK</v>
      </c>
    </row>
    <row r="127" spans="1:40" ht="14.25" outlineLevel="2">
      <c r="A127" s="641" t="s">
        <v>309</v>
      </c>
      <c r="B127" s="642"/>
      <c r="C127" s="642"/>
      <c r="D127" s="642"/>
      <c r="E127" s="643"/>
      <c r="F127" s="209" t="s">
        <v>361</v>
      </c>
      <c r="G127" s="459"/>
      <c r="H127" s="460"/>
      <c r="I127" s="460"/>
      <c r="J127" s="461"/>
      <c r="K127" s="341" t="str">
        <f aca="true" t="shared" si="30" ref="K127:AN127">IF(K14&gt;=K15,"OK","BŁĄD")</f>
        <v>OK</v>
      </c>
      <c r="L127" s="342" t="str">
        <f t="shared" si="30"/>
        <v>OK</v>
      </c>
      <c r="M127" s="342" t="str">
        <f t="shared" si="30"/>
        <v>OK</v>
      </c>
      <c r="N127" s="342" t="str">
        <f t="shared" si="30"/>
        <v>OK</v>
      </c>
      <c r="O127" s="342" t="str">
        <f t="shared" si="30"/>
        <v>OK</v>
      </c>
      <c r="P127" s="342" t="str">
        <f t="shared" si="30"/>
        <v>OK</v>
      </c>
      <c r="Q127" s="342" t="str">
        <f t="shared" si="30"/>
        <v>OK</v>
      </c>
      <c r="R127" s="342" t="str">
        <f t="shared" si="30"/>
        <v>OK</v>
      </c>
      <c r="S127" s="342" t="str">
        <f t="shared" si="30"/>
        <v>OK</v>
      </c>
      <c r="T127" s="342" t="str">
        <f t="shared" si="30"/>
        <v>OK</v>
      </c>
      <c r="U127" s="342" t="str">
        <f t="shared" si="30"/>
        <v>OK</v>
      </c>
      <c r="V127" s="342" t="str">
        <f t="shared" si="30"/>
        <v>OK</v>
      </c>
      <c r="W127" s="342" t="str">
        <f t="shared" si="30"/>
        <v>OK</v>
      </c>
      <c r="X127" s="342" t="str">
        <f t="shared" si="30"/>
        <v>OK</v>
      </c>
      <c r="Y127" s="342" t="str">
        <f t="shared" si="30"/>
        <v>OK</v>
      </c>
      <c r="Z127" s="342" t="str">
        <f t="shared" si="30"/>
        <v>OK</v>
      </c>
      <c r="AA127" s="342" t="str">
        <f t="shared" si="30"/>
        <v>OK</v>
      </c>
      <c r="AB127" s="342" t="str">
        <f t="shared" si="30"/>
        <v>OK</v>
      </c>
      <c r="AC127" s="342" t="str">
        <f t="shared" si="30"/>
        <v>OK</v>
      </c>
      <c r="AD127" s="342" t="str">
        <f t="shared" si="30"/>
        <v>OK</v>
      </c>
      <c r="AE127" s="342" t="str">
        <f t="shared" si="30"/>
        <v>OK</v>
      </c>
      <c r="AF127" s="342" t="str">
        <f t="shared" si="30"/>
        <v>OK</v>
      </c>
      <c r="AG127" s="342" t="str">
        <f t="shared" si="30"/>
        <v>OK</v>
      </c>
      <c r="AH127" s="342" t="str">
        <f t="shared" si="30"/>
        <v>OK</v>
      </c>
      <c r="AI127" s="342" t="str">
        <f t="shared" si="30"/>
        <v>OK</v>
      </c>
      <c r="AJ127" s="342" t="str">
        <f t="shared" si="30"/>
        <v>OK</v>
      </c>
      <c r="AK127" s="342" t="str">
        <f t="shared" si="30"/>
        <v>OK</v>
      </c>
      <c r="AL127" s="342" t="str">
        <f t="shared" si="30"/>
        <v>OK</v>
      </c>
      <c r="AM127" s="342" t="str">
        <f t="shared" si="30"/>
        <v>OK</v>
      </c>
      <c r="AN127" s="343" t="str">
        <f t="shared" si="30"/>
        <v>OK</v>
      </c>
    </row>
    <row r="128" spans="1:40" ht="14.25" outlineLevel="2">
      <c r="A128" s="641" t="s">
        <v>310</v>
      </c>
      <c r="B128" s="642"/>
      <c r="C128" s="642"/>
      <c r="D128" s="642"/>
      <c r="E128" s="643"/>
      <c r="F128" s="209" t="s">
        <v>362</v>
      </c>
      <c r="G128" s="459"/>
      <c r="H128" s="460"/>
      <c r="I128" s="460"/>
      <c r="J128" s="461"/>
      <c r="K128" s="341" t="str">
        <f aca="true" t="shared" si="31" ref="K128:AN128">IF(K17&gt;=K91,"OK","BŁĄD")</f>
        <v>OK</v>
      </c>
      <c r="L128" s="342" t="str">
        <f t="shared" si="31"/>
        <v>OK</v>
      </c>
      <c r="M128" s="342" t="str">
        <f t="shared" si="31"/>
        <v>OK</v>
      </c>
      <c r="N128" s="342" t="str">
        <f t="shared" si="31"/>
        <v>OK</v>
      </c>
      <c r="O128" s="342" t="str">
        <f t="shared" si="31"/>
        <v>OK</v>
      </c>
      <c r="P128" s="342" t="str">
        <f t="shared" si="31"/>
        <v>OK</v>
      </c>
      <c r="Q128" s="342" t="str">
        <f t="shared" si="31"/>
        <v>OK</v>
      </c>
      <c r="R128" s="342" t="str">
        <f t="shared" si="31"/>
        <v>OK</v>
      </c>
      <c r="S128" s="342" t="str">
        <f t="shared" si="31"/>
        <v>OK</v>
      </c>
      <c r="T128" s="342" t="str">
        <f t="shared" si="31"/>
        <v>OK</v>
      </c>
      <c r="U128" s="342" t="str">
        <f t="shared" si="31"/>
        <v>OK</v>
      </c>
      <c r="V128" s="342" t="str">
        <f t="shared" si="31"/>
        <v>OK</v>
      </c>
      <c r="W128" s="342" t="str">
        <f t="shared" si="31"/>
        <v>OK</v>
      </c>
      <c r="X128" s="342" t="str">
        <f t="shared" si="31"/>
        <v>OK</v>
      </c>
      <c r="Y128" s="342" t="str">
        <f t="shared" si="31"/>
        <v>OK</v>
      </c>
      <c r="Z128" s="342" t="str">
        <f t="shared" si="31"/>
        <v>OK</v>
      </c>
      <c r="AA128" s="342" t="str">
        <f t="shared" si="31"/>
        <v>OK</v>
      </c>
      <c r="AB128" s="342" t="str">
        <f t="shared" si="31"/>
        <v>OK</v>
      </c>
      <c r="AC128" s="342" t="str">
        <f t="shared" si="31"/>
        <v>OK</v>
      </c>
      <c r="AD128" s="342" t="str">
        <f t="shared" si="31"/>
        <v>OK</v>
      </c>
      <c r="AE128" s="342" t="str">
        <f t="shared" si="31"/>
        <v>OK</v>
      </c>
      <c r="AF128" s="342" t="str">
        <f t="shared" si="31"/>
        <v>OK</v>
      </c>
      <c r="AG128" s="342" t="str">
        <f t="shared" si="31"/>
        <v>OK</v>
      </c>
      <c r="AH128" s="342" t="str">
        <f t="shared" si="31"/>
        <v>OK</v>
      </c>
      <c r="AI128" s="342" t="str">
        <f t="shared" si="31"/>
        <v>OK</v>
      </c>
      <c r="AJ128" s="342" t="str">
        <f t="shared" si="31"/>
        <v>OK</v>
      </c>
      <c r="AK128" s="342" t="str">
        <f t="shared" si="31"/>
        <v>OK</v>
      </c>
      <c r="AL128" s="342" t="str">
        <f t="shared" si="31"/>
        <v>OK</v>
      </c>
      <c r="AM128" s="342" t="str">
        <f t="shared" si="31"/>
        <v>OK</v>
      </c>
      <c r="AN128" s="343" t="str">
        <f t="shared" si="31"/>
        <v>OK</v>
      </c>
    </row>
    <row r="129" spans="1:40" ht="24" outlineLevel="2">
      <c r="A129" s="641" t="s">
        <v>311</v>
      </c>
      <c r="B129" s="642"/>
      <c r="C129" s="642"/>
      <c r="D129" s="642"/>
      <c r="E129" s="643"/>
      <c r="F129" s="209" t="s">
        <v>363</v>
      </c>
      <c r="G129" s="459"/>
      <c r="H129" s="460"/>
      <c r="I129" s="460"/>
      <c r="J129" s="461"/>
      <c r="K129" s="341" t="str">
        <f aca="true" t="shared" si="32" ref="K129:AN129">IF(K11&gt;=K12+K13+K14+K16+K17,"OK","BŁĄD")</f>
        <v>OK</v>
      </c>
      <c r="L129" s="342" t="str">
        <f t="shared" si="32"/>
        <v>OK</v>
      </c>
      <c r="M129" s="342" t="str">
        <f t="shared" si="32"/>
        <v>OK</v>
      </c>
      <c r="N129" s="342" t="str">
        <f t="shared" si="32"/>
        <v>OK</v>
      </c>
      <c r="O129" s="342" t="str">
        <f t="shared" si="32"/>
        <v>OK</v>
      </c>
      <c r="P129" s="342" t="str">
        <f t="shared" si="32"/>
        <v>OK</v>
      </c>
      <c r="Q129" s="342" t="str">
        <f t="shared" si="32"/>
        <v>OK</v>
      </c>
      <c r="R129" s="342" t="str">
        <f t="shared" si="32"/>
        <v>OK</v>
      </c>
      <c r="S129" s="342" t="str">
        <f t="shared" si="32"/>
        <v>OK</v>
      </c>
      <c r="T129" s="342" t="str">
        <f t="shared" si="32"/>
        <v>OK</v>
      </c>
      <c r="U129" s="342" t="str">
        <f t="shared" si="32"/>
        <v>OK</v>
      </c>
      <c r="V129" s="342" t="str">
        <f t="shared" si="32"/>
        <v>OK</v>
      </c>
      <c r="W129" s="342" t="str">
        <f t="shared" si="32"/>
        <v>OK</v>
      </c>
      <c r="X129" s="342" t="str">
        <f t="shared" si="32"/>
        <v>OK</v>
      </c>
      <c r="Y129" s="342" t="str">
        <f t="shared" si="32"/>
        <v>OK</v>
      </c>
      <c r="Z129" s="342" t="str">
        <f t="shared" si="32"/>
        <v>OK</v>
      </c>
      <c r="AA129" s="342" t="str">
        <f t="shared" si="32"/>
        <v>OK</v>
      </c>
      <c r="AB129" s="342" t="str">
        <f t="shared" si="32"/>
        <v>OK</v>
      </c>
      <c r="AC129" s="342" t="str">
        <f t="shared" si="32"/>
        <v>OK</v>
      </c>
      <c r="AD129" s="342" t="str">
        <f t="shared" si="32"/>
        <v>OK</v>
      </c>
      <c r="AE129" s="342" t="str">
        <f t="shared" si="32"/>
        <v>OK</v>
      </c>
      <c r="AF129" s="342" t="str">
        <f t="shared" si="32"/>
        <v>OK</v>
      </c>
      <c r="AG129" s="342" t="str">
        <f t="shared" si="32"/>
        <v>OK</v>
      </c>
      <c r="AH129" s="342" t="str">
        <f t="shared" si="32"/>
        <v>OK</v>
      </c>
      <c r="AI129" s="342" t="str">
        <f t="shared" si="32"/>
        <v>OK</v>
      </c>
      <c r="AJ129" s="342" t="str">
        <f t="shared" si="32"/>
        <v>OK</v>
      </c>
      <c r="AK129" s="342" t="str">
        <f t="shared" si="32"/>
        <v>OK</v>
      </c>
      <c r="AL129" s="342" t="str">
        <f t="shared" si="32"/>
        <v>OK</v>
      </c>
      <c r="AM129" s="342" t="str">
        <f t="shared" si="32"/>
        <v>OK</v>
      </c>
      <c r="AN129" s="343" t="str">
        <f t="shared" si="32"/>
        <v>OK</v>
      </c>
    </row>
    <row r="130" spans="1:40" ht="14.25" outlineLevel="2">
      <c r="A130" s="641" t="s">
        <v>312</v>
      </c>
      <c r="B130" s="642"/>
      <c r="C130" s="642"/>
      <c r="D130" s="642"/>
      <c r="E130" s="643"/>
      <c r="F130" s="209" t="s">
        <v>364</v>
      </c>
      <c r="G130" s="459"/>
      <c r="H130" s="460"/>
      <c r="I130" s="460"/>
      <c r="J130" s="461"/>
      <c r="K130" s="341" t="str">
        <f aca="true" t="shared" si="33" ref="K130:AN130">IF(K11&gt;=K77,"OK","BŁĄD")</f>
        <v>OK</v>
      </c>
      <c r="L130" s="342" t="str">
        <f t="shared" si="33"/>
        <v>OK</v>
      </c>
      <c r="M130" s="342" t="str">
        <f t="shared" si="33"/>
        <v>OK</v>
      </c>
      <c r="N130" s="342" t="str">
        <f t="shared" si="33"/>
        <v>OK</v>
      </c>
      <c r="O130" s="342" t="str">
        <f t="shared" si="33"/>
        <v>OK</v>
      </c>
      <c r="P130" s="342" t="str">
        <f t="shared" si="33"/>
        <v>OK</v>
      </c>
      <c r="Q130" s="342" t="str">
        <f t="shared" si="33"/>
        <v>OK</v>
      </c>
      <c r="R130" s="342" t="str">
        <f t="shared" si="33"/>
        <v>OK</v>
      </c>
      <c r="S130" s="342" t="str">
        <f t="shared" si="33"/>
        <v>OK</v>
      </c>
      <c r="T130" s="342" t="str">
        <f t="shared" si="33"/>
        <v>OK</v>
      </c>
      <c r="U130" s="342" t="str">
        <f t="shared" si="33"/>
        <v>OK</v>
      </c>
      <c r="V130" s="342" t="str">
        <f t="shared" si="33"/>
        <v>OK</v>
      </c>
      <c r="W130" s="342" t="str">
        <f t="shared" si="33"/>
        <v>OK</v>
      </c>
      <c r="X130" s="342" t="str">
        <f t="shared" si="33"/>
        <v>OK</v>
      </c>
      <c r="Y130" s="342" t="str">
        <f t="shared" si="33"/>
        <v>OK</v>
      </c>
      <c r="Z130" s="342" t="str">
        <f t="shared" si="33"/>
        <v>OK</v>
      </c>
      <c r="AA130" s="342" t="str">
        <f t="shared" si="33"/>
        <v>OK</v>
      </c>
      <c r="AB130" s="342" t="str">
        <f t="shared" si="33"/>
        <v>OK</v>
      </c>
      <c r="AC130" s="342" t="str">
        <f t="shared" si="33"/>
        <v>OK</v>
      </c>
      <c r="AD130" s="342" t="str">
        <f t="shared" si="33"/>
        <v>OK</v>
      </c>
      <c r="AE130" s="342" t="str">
        <f t="shared" si="33"/>
        <v>OK</v>
      </c>
      <c r="AF130" s="342" t="str">
        <f t="shared" si="33"/>
        <v>OK</v>
      </c>
      <c r="AG130" s="342" t="str">
        <f t="shared" si="33"/>
        <v>OK</v>
      </c>
      <c r="AH130" s="342" t="str">
        <f t="shared" si="33"/>
        <v>OK</v>
      </c>
      <c r="AI130" s="342" t="str">
        <f t="shared" si="33"/>
        <v>OK</v>
      </c>
      <c r="AJ130" s="342" t="str">
        <f t="shared" si="33"/>
        <v>OK</v>
      </c>
      <c r="AK130" s="342" t="str">
        <f t="shared" si="33"/>
        <v>OK</v>
      </c>
      <c r="AL130" s="342" t="str">
        <f t="shared" si="33"/>
        <v>OK</v>
      </c>
      <c r="AM130" s="342" t="str">
        <f t="shared" si="33"/>
        <v>OK</v>
      </c>
      <c r="AN130" s="343" t="str">
        <f t="shared" si="33"/>
        <v>OK</v>
      </c>
    </row>
    <row r="131" spans="1:40" ht="14.25" outlineLevel="2">
      <c r="A131" s="641" t="s">
        <v>313</v>
      </c>
      <c r="B131" s="642"/>
      <c r="C131" s="642"/>
      <c r="D131" s="642"/>
      <c r="E131" s="643"/>
      <c r="F131" s="209" t="s">
        <v>365</v>
      </c>
      <c r="G131" s="459"/>
      <c r="H131" s="460"/>
      <c r="I131" s="460"/>
      <c r="J131" s="461"/>
      <c r="K131" s="341" t="str">
        <f aca="true" t="shared" si="34" ref="K131:AN131">IF(K18&gt;=K19,"OK","BŁĄD")</f>
        <v>OK</v>
      </c>
      <c r="L131" s="342" t="str">
        <f t="shared" si="34"/>
        <v>OK</v>
      </c>
      <c r="M131" s="342" t="str">
        <f t="shared" si="34"/>
        <v>OK</v>
      </c>
      <c r="N131" s="342" t="str">
        <f t="shared" si="34"/>
        <v>OK</v>
      </c>
      <c r="O131" s="342" t="str">
        <f t="shared" si="34"/>
        <v>OK</v>
      </c>
      <c r="P131" s="342" t="str">
        <f t="shared" si="34"/>
        <v>OK</v>
      </c>
      <c r="Q131" s="342" t="str">
        <f t="shared" si="34"/>
        <v>OK</v>
      </c>
      <c r="R131" s="342" t="str">
        <f t="shared" si="34"/>
        <v>OK</v>
      </c>
      <c r="S131" s="342" t="str">
        <f t="shared" si="34"/>
        <v>OK</v>
      </c>
      <c r="T131" s="342" t="str">
        <f t="shared" si="34"/>
        <v>OK</v>
      </c>
      <c r="U131" s="342" t="str">
        <f t="shared" si="34"/>
        <v>OK</v>
      </c>
      <c r="V131" s="342" t="str">
        <f t="shared" si="34"/>
        <v>OK</v>
      </c>
      <c r="W131" s="342" t="str">
        <f t="shared" si="34"/>
        <v>OK</v>
      </c>
      <c r="X131" s="342" t="str">
        <f t="shared" si="34"/>
        <v>OK</v>
      </c>
      <c r="Y131" s="342" t="str">
        <f t="shared" si="34"/>
        <v>OK</v>
      </c>
      <c r="Z131" s="342" t="str">
        <f t="shared" si="34"/>
        <v>OK</v>
      </c>
      <c r="AA131" s="342" t="str">
        <f t="shared" si="34"/>
        <v>OK</v>
      </c>
      <c r="AB131" s="342" t="str">
        <f t="shared" si="34"/>
        <v>OK</v>
      </c>
      <c r="AC131" s="342" t="str">
        <f t="shared" si="34"/>
        <v>OK</v>
      </c>
      <c r="AD131" s="342" t="str">
        <f t="shared" si="34"/>
        <v>OK</v>
      </c>
      <c r="AE131" s="342" t="str">
        <f t="shared" si="34"/>
        <v>OK</v>
      </c>
      <c r="AF131" s="342" t="str">
        <f t="shared" si="34"/>
        <v>OK</v>
      </c>
      <c r="AG131" s="342" t="str">
        <f t="shared" si="34"/>
        <v>OK</v>
      </c>
      <c r="AH131" s="342" t="str">
        <f t="shared" si="34"/>
        <v>OK</v>
      </c>
      <c r="AI131" s="342" t="str">
        <f t="shared" si="34"/>
        <v>OK</v>
      </c>
      <c r="AJ131" s="342" t="str">
        <f t="shared" si="34"/>
        <v>OK</v>
      </c>
      <c r="AK131" s="342" t="str">
        <f t="shared" si="34"/>
        <v>OK</v>
      </c>
      <c r="AL131" s="342" t="str">
        <f t="shared" si="34"/>
        <v>OK</v>
      </c>
      <c r="AM131" s="342" t="str">
        <f t="shared" si="34"/>
        <v>OK</v>
      </c>
      <c r="AN131" s="343" t="str">
        <f t="shared" si="34"/>
        <v>OK</v>
      </c>
    </row>
    <row r="132" spans="1:40" ht="14.25" outlineLevel="2">
      <c r="A132" s="641" t="s">
        <v>314</v>
      </c>
      <c r="B132" s="642"/>
      <c r="C132" s="642"/>
      <c r="D132" s="642"/>
      <c r="E132" s="643"/>
      <c r="F132" s="209" t="s">
        <v>366</v>
      </c>
      <c r="G132" s="459"/>
      <c r="H132" s="460"/>
      <c r="I132" s="460"/>
      <c r="J132" s="461"/>
      <c r="K132" s="341" t="str">
        <f aca="true" t="shared" si="35" ref="K132:AN132">IF(K18&gt;=K20,"OK","BŁĄD")</f>
        <v>OK</v>
      </c>
      <c r="L132" s="342" t="str">
        <f t="shared" si="35"/>
        <v>OK</v>
      </c>
      <c r="M132" s="342" t="str">
        <f t="shared" si="35"/>
        <v>OK</v>
      </c>
      <c r="N132" s="342" t="str">
        <f t="shared" si="35"/>
        <v>OK</v>
      </c>
      <c r="O132" s="342" t="str">
        <f t="shared" si="35"/>
        <v>OK</v>
      </c>
      <c r="P132" s="342" t="str">
        <f t="shared" si="35"/>
        <v>OK</v>
      </c>
      <c r="Q132" s="342" t="str">
        <f t="shared" si="35"/>
        <v>OK</v>
      </c>
      <c r="R132" s="342" t="str">
        <f t="shared" si="35"/>
        <v>OK</v>
      </c>
      <c r="S132" s="342" t="str">
        <f t="shared" si="35"/>
        <v>OK</v>
      </c>
      <c r="T132" s="342" t="str">
        <f t="shared" si="35"/>
        <v>OK</v>
      </c>
      <c r="U132" s="342" t="str">
        <f t="shared" si="35"/>
        <v>OK</v>
      </c>
      <c r="V132" s="342" t="str">
        <f t="shared" si="35"/>
        <v>OK</v>
      </c>
      <c r="W132" s="342" t="str">
        <f t="shared" si="35"/>
        <v>OK</v>
      </c>
      <c r="X132" s="342" t="str">
        <f t="shared" si="35"/>
        <v>OK</v>
      </c>
      <c r="Y132" s="342" t="str">
        <f t="shared" si="35"/>
        <v>OK</v>
      </c>
      <c r="Z132" s="342" t="str">
        <f t="shared" si="35"/>
        <v>OK</v>
      </c>
      <c r="AA132" s="342" t="str">
        <f t="shared" si="35"/>
        <v>OK</v>
      </c>
      <c r="AB132" s="342" t="str">
        <f t="shared" si="35"/>
        <v>OK</v>
      </c>
      <c r="AC132" s="342" t="str">
        <f t="shared" si="35"/>
        <v>OK</v>
      </c>
      <c r="AD132" s="342" t="str">
        <f t="shared" si="35"/>
        <v>OK</v>
      </c>
      <c r="AE132" s="342" t="str">
        <f t="shared" si="35"/>
        <v>OK</v>
      </c>
      <c r="AF132" s="342" t="str">
        <f t="shared" si="35"/>
        <v>OK</v>
      </c>
      <c r="AG132" s="342" t="str">
        <f t="shared" si="35"/>
        <v>OK</v>
      </c>
      <c r="AH132" s="342" t="str">
        <f t="shared" si="35"/>
        <v>OK</v>
      </c>
      <c r="AI132" s="342" t="str">
        <f t="shared" si="35"/>
        <v>OK</v>
      </c>
      <c r="AJ132" s="342" t="str">
        <f t="shared" si="35"/>
        <v>OK</v>
      </c>
      <c r="AK132" s="342" t="str">
        <f t="shared" si="35"/>
        <v>OK</v>
      </c>
      <c r="AL132" s="342" t="str">
        <f t="shared" si="35"/>
        <v>OK</v>
      </c>
      <c r="AM132" s="342" t="str">
        <f t="shared" si="35"/>
        <v>OK</v>
      </c>
      <c r="AN132" s="343" t="str">
        <f t="shared" si="35"/>
        <v>OK</v>
      </c>
    </row>
    <row r="133" spans="1:40" ht="14.25" outlineLevel="2">
      <c r="A133" s="641" t="s">
        <v>315</v>
      </c>
      <c r="B133" s="642"/>
      <c r="C133" s="642"/>
      <c r="D133" s="642"/>
      <c r="E133" s="643"/>
      <c r="F133" s="209" t="s">
        <v>367</v>
      </c>
      <c r="G133" s="459"/>
      <c r="H133" s="460"/>
      <c r="I133" s="460"/>
      <c r="J133" s="461"/>
      <c r="K133" s="341" t="str">
        <f aca="true" t="shared" si="36" ref="K133:AN133">IF(K18&gt;=K80,"OK","BŁĄD")</f>
        <v>OK</v>
      </c>
      <c r="L133" s="342" t="str">
        <f t="shared" si="36"/>
        <v>OK</v>
      </c>
      <c r="M133" s="342" t="str">
        <f t="shared" si="36"/>
        <v>OK</v>
      </c>
      <c r="N133" s="342" t="str">
        <f t="shared" si="36"/>
        <v>OK</v>
      </c>
      <c r="O133" s="342" t="str">
        <f t="shared" si="36"/>
        <v>OK</v>
      </c>
      <c r="P133" s="342" t="str">
        <f t="shared" si="36"/>
        <v>OK</v>
      </c>
      <c r="Q133" s="342" t="str">
        <f t="shared" si="36"/>
        <v>OK</v>
      </c>
      <c r="R133" s="342" t="str">
        <f t="shared" si="36"/>
        <v>OK</v>
      </c>
      <c r="S133" s="342" t="str">
        <f t="shared" si="36"/>
        <v>OK</v>
      </c>
      <c r="T133" s="342" t="str">
        <f t="shared" si="36"/>
        <v>OK</v>
      </c>
      <c r="U133" s="342" t="str">
        <f t="shared" si="36"/>
        <v>OK</v>
      </c>
      <c r="V133" s="342" t="str">
        <f t="shared" si="36"/>
        <v>OK</v>
      </c>
      <c r="W133" s="342" t="str">
        <f t="shared" si="36"/>
        <v>OK</v>
      </c>
      <c r="X133" s="342" t="str">
        <f t="shared" si="36"/>
        <v>OK</v>
      </c>
      <c r="Y133" s="342" t="str">
        <f t="shared" si="36"/>
        <v>OK</v>
      </c>
      <c r="Z133" s="342" t="str">
        <f t="shared" si="36"/>
        <v>OK</v>
      </c>
      <c r="AA133" s="342" t="str">
        <f t="shared" si="36"/>
        <v>OK</v>
      </c>
      <c r="AB133" s="342" t="str">
        <f t="shared" si="36"/>
        <v>OK</v>
      </c>
      <c r="AC133" s="342" t="str">
        <f t="shared" si="36"/>
        <v>OK</v>
      </c>
      <c r="AD133" s="342" t="str">
        <f t="shared" si="36"/>
        <v>OK</v>
      </c>
      <c r="AE133" s="342" t="str">
        <f t="shared" si="36"/>
        <v>OK</v>
      </c>
      <c r="AF133" s="342" t="str">
        <f t="shared" si="36"/>
        <v>OK</v>
      </c>
      <c r="AG133" s="342" t="str">
        <f t="shared" si="36"/>
        <v>OK</v>
      </c>
      <c r="AH133" s="342" t="str">
        <f t="shared" si="36"/>
        <v>OK</v>
      </c>
      <c r="AI133" s="342" t="str">
        <f t="shared" si="36"/>
        <v>OK</v>
      </c>
      <c r="AJ133" s="342" t="str">
        <f t="shared" si="36"/>
        <v>OK</v>
      </c>
      <c r="AK133" s="342" t="str">
        <f t="shared" si="36"/>
        <v>OK</v>
      </c>
      <c r="AL133" s="342" t="str">
        <f t="shared" si="36"/>
        <v>OK</v>
      </c>
      <c r="AM133" s="342" t="str">
        <f t="shared" si="36"/>
        <v>OK</v>
      </c>
      <c r="AN133" s="343" t="str">
        <f t="shared" si="36"/>
        <v>OK</v>
      </c>
    </row>
    <row r="134" spans="1:40" ht="14.25" outlineLevel="2">
      <c r="A134" s="641" t="s">
        <v>316</v>
      </c>
      <c r="B134" s="642"/>
      <c r="C134" s="642"/>
      <c r="D134" s="642"/>
      <c r="E134" s="643"/>
      <c r="F134" s="209" t="s">
        <v>368</v>
      </c>
      <c r="G134" s="459"/>
      <c r="H134" s="460"/>
      <c r="I134" s="460"/>
      <c r="J134" s="461"/>
      <c r="K134" s="341" t="str">
        <f aca="true" t="shared" si="37" ref="K134:AN134">IF(K65&gt;=K66,"OK","BŁĄD")</f>
        <v>OK</v>
      </c>
      <c r="L134" s="342" t="str">
        <f t="shared" si="37"/>
        <v>OK</v>
      </c>
      <c r="M134" s="342" t="str">
        <f t="shared" si="37"/>
        <v>OK</v>
      </c>
      <c r="N134" s="342" t="str">
        <f t="shared" si="37"/>
        <v>OK</v>
      </c>
      <c r="O134" s="342" t="str">
        <f t="shared" si="37"/>
        <v>OK</v>
      </c>
      <c r="P134" s="342" t="str">
        <f t="shared" si="37"/>
        <v>OK</v>
      </c>
      <c r="Q134" s="342" t="str">
        <f t="shared" si="37"/>
        <v>OK</v>
      </c>
      <c r="R134" s="342" t="str">
        <f t="shared" si="37"/>
        <v>OK</v>
      </c>
      <c r="S134" s="342" t="str">
        <f t="shared" si="37"/>
        <v>OK</v>
      </c>
      <c r="T134" s="342" t="str">
        <f t="shared" si="37"/>
        <v>OK</v>
      </c>
      <c r="U134" s="342" t="str">
        <f t="shared" si="37"/>
        <v>OK</v>
      </c>
      <c r="V134" s="342" t="str">
        <f t="shared" si="37"/>
        <v>OK</v>
      </c>
      <c r="W134" s="342" t="str">
        <f t="shared" si="37"/>
        <v>OK</v>
      </c>
      <c r="X134" s="342" t="str">
        <f t="shared" si="37"/>
        <v>OK</v>
      </c>
      <c r="Y134" s="342" t="str">
        <f t="shared" si="37"/>
        <v>OK</v>
      </c>
      <c r="Z134" s="342" t="str">
        <f t="shared" si="37"/>
        <v>OK</v>
      </c>
      <c r="AA134" s="342" t="str">
        <f t="shared" si="37"/>
        <v>OK</v>
      </c>
      <c r="AB134" s="342" t="str">
        <f t="shared" si="37"/>
        <v>OK</v>
      </c>
      <c r="AC134" s="342" t="str">
        <f t="shared" si="37"/>
        <v>OK</v>
      </c>
      <c r="AD134" s="342" t="str">
        <f t="shared" si="37"/>
        <v>OK</v>
      </c>
      <c r="AE134" s="342" t="str">
        <f t="shared" si="37"/>
        <v>OK</v>
      </c>
      <c r="AF134" s="342" t="str">
        <f t="shared" si="37"/>
        <v>OK</v>
      </c>
      <c r="AG134" s="342" t="str">
        <f t="shared" si="37"/>
        <v>OK</v>
      </c>
      <c r="AH134" s="342" t="str">
        <f t="shared" si="37"/>
        <v>OK</v>
      </c>
      <c r="AI134" s="342" t="str">
        <f t="shared" si="37"/>
        <v>OK</v>
      </c>
      <c r="AJ134" s="342" t="str">
        <f t="shared" si="37"/>
        <v>OK</v>
      </c>
      <c r="AK134" s="342" t="str">
        <f t="shared" si="37"/>
        <v>OK</v>
      </c>
      <c r="AL134" s="342" t="str">
        <f t="shared" si="37"/>
        <v>OK</v>
      </c>
      <c r="AM134" s="342" t="str">
        <f t="shared" si="37"/>
        <v>OK</v>
      </c>
      <c r="AN134" s="343" t="str">
        <f t="shared" si="37"/>
        <v>OK</v>
      </c>
    </row>
    <row r="135" spans="1:40" ht="14.25" outlineLevel="2">
      <c r="A135" s="641" t="s">
        <v>318</v>
      </c>
      <c r="B135" s="642"/>
      <c r="C135" s="642"/>
      <c r="D135" s="642"/>
      <c r="E135" s="643"/>
      <c r="F135" s="209" t="s">
        <v>370</v>
      </c>
      <c r="G135" s="459"/>
      <c r="H135" s="460"/>
      <c r="I135" s="460"/>
      <c r="J135" s="461"/>
      <c r="K135" s="341" t="str">
        <f aca="true" t="shared" si="38" ref="K135:AN135">IF(K77&gt;=K78,"OK","BŁĄD")</f>
        <v>OK</v>
      </c>
      <c r="L135" s="342" t="str">
        <f t="shared" si="38"/>
        <v>OK</v>
      </c>
      <c r="M135" s="342" t="str">
        <f t="shared" si="38"/>
        <v>OK</v>
      </c>
      <c r="N135" s="342" t="str">
        <f t="shared" si="38"/>
        <v>OK</v>
      </c>
      <c r="O135" s="342" t="str">
        <f t="shared" si="38"/>
        <v>OK</v>
      </c>
      <c r="P135" s="342" t="str">
        <f t="shared" si="38"/>
        <v>OK</v>
      </c>
      <c r="Q135" s="342" t="str">
        <f t="shared" si="38"/>
        <v>OK</v>
      </c>
      <c r="R135" s="342" t="str">
        <f t="shared" si="38"/>
        <v>OK</v>
      </c>
      <c r="S135" s="342" t="str">
        <f t="shared" si="38"/>
        <v>OK</v>
      </c>
      <c r="T135" s="342" t="str">
        <f t="shared" si="38"/>
        <v>OK</v>
      </c>
      <c r="U135" s="342" t="str">
        <f t="shared" si="38"/>
        <v>OK</v>
      </c>
      <c r="V135" s="342" t="str">
        <f t="shared" si="38"/>
        <v>OK</v>
      </c>
      <c r="W135" s="342" t="str">
        <f t="shared" si="38"/>
        <v>OK</v>
      </c>
      <c r="X135" s="342" t="str">
        <f t="shared" si="38"/>
        <v>OK</v>
      </c>
      <c r="Y135" s="342" t="str">
        <f t="shared" si="38"/>
        <v>OK</v>
      </c>
      <c r="Z135" s="342" t="str">
        <f t="shared" si="38"/>
        <v>OK</v>
      </c>
      <c r="AA135" s="342" t="str">
        <f t="shared" si="38"/>
        <v>OK</v>
      </c>
      <c r="AB135" s="342" t="str">
        <f t="shared" si="38"/>
        <v>OK</v>
      </c>
      <c r="AC135" s="342" t="str">
        <f t="shared" si="38"/>
        <v>OK</v>
      </c>
      <c r="AD135" s="342" t="str">
        <f t="shared" si="38"/>
        <v>OK</v>
      </c>
      <c r="AE135" s="342" t="str">
        <f t="shared" si="38"/>
        <v>OK</v>
      </c>
      <c r="AF135" s="342" t="str">
        <f t="shared" si="38"/>
        <v>OK</v>
      </c>
      <c r="AG135" s="342" t="str">
        <f t="shared" si="38"/>
        <v>OK</v>
      </c>
      <c r="AH135" s="342" t="str">
        <f t="shared" si="38"/>
        <v>OK</v>
      </c>
      <c r="AI135" s="342" t="str">
        <f t="shared" si="38"/>
        <v>OK</v>
      </c>
      <c r="AJ135" s="342" t="str">
        <f t="shared" si="38"/>
        <v>OK</v>
      </c>
      <c r="AK135" s="342" t="str">
        <f t="shared" si="38"/>
        <v>OK</v>
      </c>
      <c r="AL135" s="342" t="str">
        <f t="shared" si="38"/>
        <v>OK</v>
      </c>
      <c r="AM135" s="342" t="str">
        <f t="shared" si="38"/>
        <v>OK</v>
      </c>
      <c r="AN135" s="343" t="str">
        <f t="shared" si="38"/>
        <v>OK</v>
      </c>
    </row>
    <row r="136" spans="1:40" ht="14.25" outlineLevel="2">
      <c r="A136" s="641" t="s">
        <v>317</v>
      </c>
      <c r="B136" s="642"/>
      <c r="C136" s="642"/>
      <c r="D136" s="642"/>
      <c r="E136" s="643"/>
      <c r="F136" s="209" t="s">
        <v>369</v>
      </c>
      <c r="G136" s="459"/>
      <c r="H136" s="460"/>
      <c r="I136" s="460"/>
      <c r="J136" s="461"/>
      <c r="K136" s="341" t="str">
        <f aca="true" t="shared" si="39" ref="K136:AN136">IF(K78&gt;=K79,"OK","BŁĄD")</f>
        <v>OK</v>
      </c>
      <c r="L136" s="342" t="str">
        <f t="shared" si="39"/>
        <v>OK</v>
      </c>
      <c r="M136" s="342" t="str">
        <f t="shared" si="39"/>
        <v>OK</v>
      </c>
      <c r="N136" s="342" t="str">
        <f t="shared" si="39"/>
        <v>OK</v>
      </c>
      <c r="O136" s="342" t="str">
        <f t="shared" si="39"/>
        <v>OK</v>
      </c>
      <c r="P136" s="342" t="str">
        <f t="shared" si="39"/>
        <v>OK</v>
      </c>
      <c r="Q136" s="342" t="str">
        <f t="shared" si="39"/>
        <v>OK</v>
      </c>
      <c r="R136" s="342" t="str">
        <f t="shared" si="39"/>
        <v>OK</v>
      </c>
      <c r="S136" s="342" t="str">
        <f t="shared" si="39"/>
        <v>OK</v>
      </c>
      <c r="T136" s="342" t="str">
        <f t="shared" si="39"/>
        <v>OK</v>
      </c>
      <c r="U136" s="342" t="str">
        <f t="shared" si="39"/>
        <v>OK</v>
      </c>
      <c r="V136" s="342" t="str">
        <f t="shared" si="39"/>
        <v>OK</v>
      </c>
      <c r="W136" s="342" t="str">
        <f t="shared" si="39"/>
        <v>OK</v>
      </c>
      <c r="X136" s="342" t="str">
        <f t="shared" si="39"/>
        <v>OK</v>
      </c>
      <c r="Y136" s="342" t="str">
        <f t="shared" si="39"/>
        <v>OK</v>
      </c>
      <c r="Z136" s="342" t="str">
        <f t="shared" si="39"/>
        <v>OK</v>
      </c>
      <c r="AA136" s="342" t="str">
        <f t="shared" si="39"/>
        <v>OK</v>
      </c>
      <c r="AB136" s="342" t="str">
        <f t="shared" si="39"/>
        <v>OK</v>
      </c>
      <c r="AC136" s="342" t="str">
        <f t="shared" si="39"/>
        <v>OK</v>
      </c>
      <c r="AD136" s="342" t="str">
        <f t="shared" si="39"/>
        <v>OK</v>
      </c>
      <c r="AE136" s="342" t="str">
        <f t="shared" si="39"/>
        <v>OK</v>
      </c>
      <c r="AF136" s="342" t="str">
        <f t="shared" si="39"/>
        <v>OK</v>
      </c>
      <c r="AG136" s="342" t="str">
        <f t="shared" si="39"/>
        <v>OK</v>
      </c>
      <c r="AH136" s="342" t="str">
        <f t="shared" si="39"/>
        <v>OK</v>
      </c>
      <c r="AI136" s="342" t="str">
        <f t="shared" si="39"/>
        <v>OK</v>
      </c>
      <c r="AJ136" s="342" t="str">
        <f t="shared" si="39"/>
        <v>OK</v>
      </c>
      <c r="AK136" s="342" t="str">
        <f t="shared" si="39"/>
        <v>OK</v>
      </c>
      <c r="AL136" s="342" t="str">
        <f t="shared" si="39"/>
        <v>OK</v>
      </c>
      <c r="AM136" s="342" t="str">
        <f t="shared" si="39"/>
        <v>OK</v>
      </c>
      <c r="AN136" s="343" t="str">
        <f t="shared" si="39"/>
        <v>OK</v>
      </c>
    </row>
    <row r="137" spans="1:40" ht="14.25" outlineLevel="2">
      <c r="A137" s="641" t="s">
        <v>320</v>
      </c>
      <c r="B137" s="642"/>
      <c r="C137" s="642"/>
      <c r="D137" s="642"/>
      <c r="E137" s="643"/>
      <c r="F137" s="209" t="s">
        <v>372</v>
      </c>
      <c r="G137" s="459"/>
      <c r="H137" s="460"/>
      <c r="I137" s="460"/>
      <c r="J137" s="461"/>
      <c r="K137" s="341" t="str">
        <f aca="true" t="shared" si="40" ref="K137:AN137">IF(K80&gt;=K81,"OK","BŁĄD")</f>
        <v>OK</v>
      </c>
      <c r="L137" s="342" t="str">
        <f t="shared" si="40"/>
        <v>OK</v>
      </c>
      <c r="M137" s="342" t="str">
        <f t="shared" si="40"/>
        <v>OK</v>
      </c>
      <c r="N137" s="342" t="str">
        <f t="shared" si="40"/>
        <v>OK</v>
      </c>
      <c r="O137" s="342" t="str">
        <f t="shared" si="40"/>
        <v>OK</v>
      </c>
      <c r="P137" s="342" t="str">
        <f t="shared" si="40"/>
        <v>OK</v>
      </c>
      <c r="Q137" s="342" t="str">
        <f t="shared" si="40"/>
        <v>OK</v>
      </c>
      <c r="R137" s="342" t="str">
        <f t="shared" si="40"/>
        <v>OK</v>
      </c>
      <c r="S137" s="342" t="str">
        <f t="shared" si="40"/>
        <v>OK</v>
      </c>
      <c r="T137" s="342" t="str">
        <f t="shared" si="40"/>
        <v>OK</v>
      </c>
      <c r="U137" s="342" t="str">
        <f t="shared" si="40"/>
        <v>OK</v>
      </c>
      <c r="V137" s="342" t="str">
        <f t="shared" si="40"/>
        <v>OK</v>
      </c>
      <c r="W137" s="342" t="str">
        <f t="shared" si="40"/>
        <v>OK</v>
      </c>
      <c r="X137" s="342" t="str">
        <f t="shared" si="40"/>
        <v>OK</v>
      </c>
      <c r="Y137" s="342" t="str">
        <f t="shared" si="40"/>
        <v>OK</v>
      </c>
      <c r="Z137" s="342" t="str">
        <f t="shared" si="40"/>
        <v>OK</v>
      </c>
      <c r="AA137" s="342" t="str">
        <f t="shared" si="40"/>
        <v>OK</v>
      </c>
      <c r="AB137" s="342" t="str">
        <f t="shared" si="40"/>
        <v>OK</v>
      </c>
      <c r="AC137" s="342" t="str">
        <f t="shared" si="40"/>
        <v>OK</v>
      </c>
      <c r="AD137" s="342" t="str">
        <f t="shared" si="40"/>
        <v>OK</v>
      </c>
      <c r="AE137" s="342" t="str">
        <f t="shared" si="40"/>
        <v>OK</v>
      </c>
      <c r="AF137" s="342" t="str">
        <f t="shared" si="40"/>
        <v>OK</v>
      </c>
      <c r="AG137" s="342" t="str">
        <f t="shared" si="40"/>
        <v>OK</v>
      </c>
      <c r="AH137" s="342" t="str">
        <f t="shared" si="40"/>
        <v>OK</v>
      </c>
      <c r="AI137" s="342" t="str">
        <f t="shared" si="40"/>
        <v>OK</v>
      </c>
      <c r="AJ137" s="342" t="str">
        <f t="shared" si="40"/>
        <v>OK</v>
      </c>
      <c r="AK137" s="342" t="str">
        <f t="shared" si="40"/>
        <v>OK</v>
      </c>
      <c r="AL137" s="342" t="str">
        <f t="shared" si="40"/>
        <v>OK</v>
      </c>
      <c r="AM137" s="342" t="str">
        <f t="shared" si="40"/>
        <v>OK</v>
      </c>
      <c r="AN137" s="343" t="str">
        <f t="shared" si="40"/>
        <v>OK</v>
      </c>
    </row>
    <row r="138" spans="1:40" ht="14.25" outlineLevel="2">
      <c r="A138" s="641" t="s">
        <v>319</v>
      </c>
      <c r="B138" s="642"/>
      <c r="C138" s="642"/>
      <c r="D138" s="642"/>
      <c r="E138" s="643"/>
      <c r="F138" s="209" t="s">
        <v>371</v>
      </c>
      <c r="G138" s="459"/>
      <c r="H138" s="460"/>
      <c r="I138" s="460"/>
      <c r="J138" s="461"/>
      <c r="K138" s="341" t="str">
        <f aca="true" t="shared" si="41" ref="K138:AN138">IF(K81&gt;=K82,"OK","BŁĄD")</f>
        <v>OK</v>
      </c>
      <c r="L138" s="342" t="str">
        <f t="shared" si="41"/>
        <v>OK</v>
      </c>
      <c r="M138" s="342" t="str">
        <f t="shared" si="41"/>
        <v>OK</v>
      </c>
      <c r="N138" s="342" t="str">
        <f t="shared" si="41"/>
        <v>OK</v>
      </c>
      <c r="O138" s="342" t="str">
        <f t="shared" si="41"/>
        <v>OK</v>
      </c>
      <c r="P138" s="342" t="str">
        <f t="shared" si="41"/>
        <v>OK</v>
      </c>
      <c r="Q138" s="342" t="str">
        <f t="shared" si="41"/>
        <v>OK</v>
      </c>
      <c r="R138" s="342" t="str">
        <f t="shared" si="41"/>
        <v>OK</v>
      </c>
      <c r="S138" s="342" t="str">
        <f t="shared" si="41"/>
        <v>OK</v>
      </c>
      <c r="T138" s="342" t="str">
        <f t="shared" si="41"/>
        <v>OK</v>
      </c>
      <c r="U138" s="342" t="str">
        <f t="shared" si="41"/>
        <v>OK</v>
      </c>
      <c r="V138" s="342" t="str">
        <f t="shared" si="41"/>
        <v>OK</v>
      </c>
      <c r="W138" s="342" t="str">
        <f t="shared" si="41"/>
        <v>OK</v>
      </c>
      <c r="X138" s="342" t="str">
        <f t="shared" si="41"/>
        <v>OK</v>
      </c>
      <c r="Y138" s="342" t="str">
        <f t="shared" si="41"/>
        <v>OK</v>
      </c>
      <c r="Z138" s="342" t="str">
        <f t="shared" si="41"/>
        <v>OK</v>
      </c>
      <c r="AA138" s="342" t="str">
        <f t="shared" si="41"/>
        <v>OK</v>
      </c>
      <c r="AB138" s="342" t="str">
        <f t="shared" si="41"/>
        <v>OK</v>
      </c>
      <c r="AC138" s="342" t="str">
        <f t="shared" si="41"/>
        <v>OK</v>
      </c>
      <c r="AD138" s="342" t="str">
        <f t="shared" si="41"/>
        <v>OK</v>
      </c>
      <c r="AE138" s="342" t="str">
        <f t="shared" si="41"/>
        <v>OK</v>
      </c>
      <c r="AF138" s="342" t="str">
        <f t="shared" si="41"/>
        <v>OK</v>
      </c>
      <c r="AG138" s="342" t="str">
        <f t="shared" si="41"/>
        <v>OK</v>
      </c>
      <c r="AH138" s="342" t="str">
        <f t="shared" si="41"/>
        <v>OK</v>
      </c>
      <c r="AI138" s="342" t="str">
        <f t="shared" si="41"/>
        <v>OK</v>
      </c>
      <c r="AJ138" s="342" t="str">
        <f t="shared" si="41"/>
        <v>OK</v>
      </c>
      <c r="AK138" s="342" t="str">
        <f t="shared" si="41"/>
        <v>OK</v>
      </c>
      <c r="AL138" s="342" t="str">
        <f t="shared" si="41"/>
        <v>OK</v>
      </c>
      <c r="AM138" s="342" t="str">
        <f t="shared" si="41"/>
        <v>OK</v>
      </c>
      <c r="AN138" s="343" t="str">
        <f t="shared" si="41"/>
        <v>OK</v>
      </c>
    </row>
    <row r="139" spans="1:40" ht="14.25" outlineLevel="2">
      <c r="A139" s="641" t="s">
        <v>321</v>
      </c>
      <c r="B139" s="642"/>
      <c r="C139" s="642"/>
      <c r="D139" s="642"/>
      <c r="E139" s="643"/>
      <c r="F139" s="209" t="s">
        <v>373</v>
      </c>
      <c r="G139" s="459"/>
      <c r="H139" s="460"/>
      <c r="I139" s="460"/>
      <c r="J139" s="461"/>
      <c r="K139" s="341" t="str">
        <f aca="true" t="shared" si="42" ref="K139:AN139">IF(K83&gt;=K84,"OK","BŁĄD")</f>
        <v>OK</v>
      </c>
      <c r="L139" s="342" t="str">
        <f t="shared" si="42"/>
        <v>OK</v>
      </c>
      <c r="M139" s="342" t="str">
        <f t="shared" si="42"/>
        <v>OK</v>
      </c>
      <c r="N139" s="342" t="str">
        <f t="shared" si="42"/>
        <v>OK</v>
      </c>
      <c r="O139" s="342" t="str">
        <f t="shared" si="42"/>
        <v>OK</v>
      </c>
      <c r="P139" s="342" t="str">
        <f t="shared" si="42"/>
        <v>OK</v>
      </c>
      <c r="Q139" s="342" t="str">
        <f t="shared" si="42"/>
        <v>OK</v>
      </c>
      <c r="R139" s="342" t="str">
        <f t="shared" si="42"/>
        <v>OK</v>
      </c>
      <c r="S139" s="342" t="str">
        <f t="shared" si="42"/>
        <v>OK</v>
      </c>
      <c r="T139" s="342" t="str">
        <f t="shared" si="42"/>
        <v>OK</v>
      </c>
      <c r="U139" s="342" t="str">
        <f t="shared" si="42"/>
        <v>OK</v>
      </c>
      <c r="V139" s="342" t="str">
        <f t="shared" si="42"/>
        <v>OK</v>
      </c>
      <c r="W139" s="342" t="str">
        <f t="shared" si="42"/>
        <v>OK</v>
      </c>
      <c r="X139" s="342" t="str">
        <f t="shared" si="42"/>
        <v>OK</v>
      </c>
      <c r="Y139" s="342" t="str">
        <f t="shared" si="42"/>
        <v>OK</v>
      </c>
      <c r="Z139" s="342" t="str">
        <f t="shared" si="42"/>
        <v>OK</v>
      </c>
      <c r="AA139" s="342" t="str">
        <f t="shared" si="42"/>
        <v>OK</v>
      </c>
      <c r="AB139" s="342" t="str">
        <f t="shared" si="42"/>
        <v>OK</v>
      </c>
      <c r="AC139" s="342" t="str">
        <f t="shared" si="42"/>
        <v>OK</v>
      </c>
      <c r="AD139" s="342" t="str">
        <f t="shared" si="42"/>
        <v>OK</v>
      </c>
      <c r="AE139" s="342" t="str">
        <f t="shared" si="42"/>
        <v>OK</v>
      </c>
      <c r="AF139" s="342" t="str">
        <f t="shared" si="42"/>
        <v>OK</v>
      </c>
      <c r="AG139" s="342" t="str">
        <f t="shared" si="42"/>
        <v>OK</v>
      </c>
      <c r="AH139" s="342" t="str">
        <f t="shared" si="42"/>
        <v>OK</v>
      </c>
      <c r="AI139" s="342" t="str">
        <f t="shared" si="42"/>
        <v>OK</v>
      </c>
      <c r="AJ139" s="342" t="str">
        <f t="shared" si="42"/>
        <v>OK</v>
      </c>
      <c r="AK139" s="342" t="str">
        <f t="shared" si="42"/>
        <v>OK</v>
      </c>
      <c r="AL139" s="342" t="str">
        <f t="shared" si="42"/>
        <v>OK</v>
      </c>
      <c r="AM139" s="342" t="str">
        <f t="shared" si="42"/>
        <v>OK</v>
      </c>
      <c r="AN139" s="343" t="str">
        <f t="shared" si="42"/>
        <v>OK</v>
      </c>
    </row>
    <row r="140" spans="1:40" ht="14.25" outlineLevel="2">
      <c r="A140" s="641" t="s">
        <v>322</v>
      </c>
      <c r="B140" s="642"/>
      <c r="C140" s="642"/>
      <c r="D140" s="642"/>
      <c r="E140" s="643"/>
      <c r="F140" s="209" t="s">
        <v>374</v>
      </c>
      <c r="G140" s="459"/>
      <c r="H140" s="460"/>
      <c r="I140" s="460"/>
      <c r="J140" s="461"/>
      <c r="K140" s="341" t="str">
        <f aca="true" t="shared" si="43" ref="K140:AN140">IF(K83&gt;=K85,"OK","BŁĄD")</f>
        <v>OK</v>
      </c>
      <c r="L140" s="342" t="str">
        <f t="shared" si="43"/>
        <v>OK</v>
      </c>
      <c r="M140" s="342" t="str">
        <f t="shared" si="43"/>
        <v>OK</v>
      </c>
      <c r="N140" s="342" t="str">
        <f t="shared" si="43"/>
        <v>OK</v>
      </c>
      <c r="O140" s="342" t="str">
        <f t="shared" si="43"/>
        <v>OK</v>
      </c>
      <c r="P140" s="342" t="str">
        <f t="shared" si="43"/>
        <v>OK</v>
      </c>
      <c r="Q140" s="342" t="str">
        <f t="shared" si="43"/>
        <v>OK</v>
      </c>
      <c r="R140" s="342" t="str">
        <f t="shared" si="43"/>
        <v>OK</v>
      </c>
      <c r="S140" s="342" t="str">
        <f t="shared" si="43"/>
        <v>OK</v>
      </c>
      <c r="T140" s="342" t="str">
        <f t="shared" si="43"/>
        <v>OK</v>
      </c>
      <c r="U140" s="342" t="str">
        <f t="shared" si="43"/>
        <v>OK</v>
      </c>
      <c r="V140" s="342" t="str">
        <f t="shared" si="43"/>
        <v>OK</v>
      </c>
      <c r="W140" s="342" t="str">
        <f t="shared" si="43"/>
        <v>OK</v>
      </c>
      <c r="X140" s="342" t="str">
        <f t="shared" si="43"/>
        <v>OK</v>
      </c>
      <c r="Y140" s="342" t="str">
        <f t="shared" si="43"/>
        <v>OK</v>
      </c>
      <c r="Z140" s="342" t="str">
        <f t="shared" si="43"/>
        <v>OK</v>
      </c>
      <c r="AA140" s="342" t="str">
        <f t="shared" si="43"/>
        <v>OK</v>
      </c>
      <c r="AB140" s="342" t="str">
        <f t="shared" si="43"/>
        <v>OK</v>
      </c>
      <c r="AC140" s="342" t="str">
        <f t="shared" si="43"/>
        <v>OK</v>
      </c>
      <c r="AD140" s="342" t="str">
        <f t="shared" si="43"/>
        <v>OK</v>
      </c>
      <c r="AE140" s="342" t="str">
        <f t="shared" si="43"/>
        <v>OK</v>
      </c>
      <c r="AF140" s="342" t="str">
        <f t="shared" si="43"/>
        <v>OK</v>
      </c>
      <c r="AG140" s="342" t="str">
        <f t="shared" si="43"/>
        <v>OK</v>
      </c>
      <c r="AH140" s="342" t="str">
        <f t="shared" si="43"/>
        <v>OK</v>
      </c>
      <c r="AI140" s="342" t="str">
        <f t="shared" si="43"/>
        <v>OK</v>
      </c>
      <c r="AJ140" s="342" t="str">
        <f t="shared" si="43"/>
        <v>OK</v>
      </c>
      <c r="AK140" s="342" t="str">
        <f t="shared" si="43"/>
        <v>OK</v>
      </c>
      <c r="AL140" s="342" t="str">
        <f t="shared" si="43"/>
        <v>OK</v>
      </c>
      <c r="AM140" s="342" t="str">
        <f t="shared" si="43"/>
        <v>OK</v>
      </c>
      <c r="AN140" s="343" t="str">
        <f t="shared" si="43"/>
        <v>OK</v>
      </c>
    </row>
    <row r="141" spans="1:40" ht="14.25" outlineLevel="2">
      <c r="A141" s="641" t="s">
        <v>323</v>
      </c>
      <c r="B141" s="642"/>
      <c r="C141" s="642"/>
      <c r="D141" s="642"/>
      <c r="E141" s="643"/>
      <c r="F141" s="209" t="s">
        <v>375</v>
      </c>
      <c r="G141" s="459"/>
      <c r="H141" s="460"/>
      <c r="I141" s="460"/>
      <c r="J141" s="461"/>
      <c r="K141" s="341" t="str">
        <f aca="true" t="shared" si="44" ref="K141:AN141">IF(K86&gt;=K87,"OK","BŁĄD")</f>
        <v>OK</v>
      </c>
      <c r="L141" s="342" t="str">
        <f t="shared" si="44"/>
        <v>OK</v>
      </c>
      <c r="M141" s="342" t="str">
        <f t="shared" si="44"/>
        <v>OK</v>
      </c>
      <c r="N141" s="342" t="str">
        <f t="shared" si="44"/>
        <v>OK</v>
      </c>
      <c r="O141" s="342" t="str">
        <f t="shared" si="44"/>
        <v>OK</v>
      </c>
      <c r="P141" s="342" t="str">
        <f t="shared" si="44"/>
        <v>OK</v>
      </c>
      <c r="Q141" s="342" t="str">
        <f t="shared" si="44"/>
        <v>OK</v>
      </c>
      <c r="R141" s="342" t="str">
        <f t="shared" si="44"/>
        <v>OK</v>
      </c>
      <c r="S141" s="342" t="str">
        <f t="shared" si="44"/>
        <v>OK</v>
      </c>
      <c r="T141" s="342" t="str">
        <f t="shared" si="44"/>
        <v>OK</v>
      </c>
      <c r="U141" s="342" t="str">
        <f t="shared" si="44"/>
        <v>OK</v>
      </c>
      <c r="V141" s="342" t="str">
        <f t="shared" si="44"/>
        <v>OK</v>
      </c>
      <c r="W141" s="342" t="str">
        <f t="shared" si="44"/>
        <v>OK</v>
      </c>
      <c r="X141" s="342" t="str">
        <f t="shared" si="44"/>
        <v>OK</v>
      </c>
      <c r="Y141" s="342" t="str">
        <f t="shared" si="44"/>
        <v>OK</v>
      </c>
      <c r="Z141" s="342" t="str">
        <f t="shared" si="44"/>
        <v>OK</v>
      </c>
      <c r="AA141" s="342" t="str">
        <f t="shared" si="44"/>
        <v>OK</v>
      </c>
      <c r="AB141" s="342" t="str">
        <f t="shared" si="44"/>
        <v>OK</v>
      </c>
      <c r="AC141" s="342" t="str">
        <f t="shared" si="44"/>
        <v>OK</v>
      </c>
      <c r="AD141" s="342" t="str">
        <f t="shared" si="44"/>
        <v>OK</v>
      </c>
      <c r="AE141" s="342" t="str">
        <f t="shared" si="44"/>
        <v>OK</v>
      </c>
      <c r="AF141" s="342" t="str">
        <f t="shared" si="44"/>
        <v>OK</v>
      </c>
      <c r="AG141" s="342" t="str">
        <f t="shared" si="44"/>
        <v>OK</v>
      </c>
      <c r="AH141" s="342" t="str">
        <f t="shared" si="44"/>
        <v>OK</v>
      </c>
      <c r="AI141" s="342" t="str">
        <f t="shared" si="44"/>
        <v>OK</v>
      </c>
      <c r="AJ141" s="342" t="str">
        <f t="shared" si="44"/>
        <v>OK</v>
      </c>
      <c r="AK141" s="342" t="str">
        <f t="shared" si="44"/>
        <v>OK</v>
      </c>
      <c r="AL141" s="342" t="str">
        <f t="shared" si="44"/>
        <v>OK</v>
      </c>
      <c r="AM141" s="342" t="str">
        <f t="shared" si="44"/>
        <v>OK</v>
      </c>
      <c r="AN141" s="343" t="str">
        <f t="shared" si="44"/>
        <v>OK</v>
      </c>
    </row>
    <row r="142" spans="1:40" ht="14.25" outlineLevel="2">
      <c r="A142" s="641" t="s">
        <v>324</v>
      </c>
      <c r="B142" s="642"/>
      <c r="C142" s="642"/>
      <c r="D142" s="642"/>
      <c r="E142" s="643"/>
      <c r="F142" s="209" t="s">
        <v>376</v>
      </c>
      <c r="G142" s="459"/>
      <c r="H142" s="460"/>
      <c r="I142" s="460"/>
      <c r="J142" s="461"/>
      <c r="K142" s="341" t="str">
        <f aca="true" t="shared" si="45" ref="K142:AN142">IF(K86&gt;=K88,"OK","BŁĄD")</f>
        <v>OK</v>
      </c>
      <c r="L142" s="342" t="str">
        <f t="shared" si="45"/>
        <v>OK</v>
      </c>
      <c r="M142" s="342" t="str">
        <f t="shared" si="45"/>
        <v>OK</v>
      </c>
      <c r="N142" s="342" t="str">
        <f t="shared" si="45"/>
        <v>OK</v>
      </c>
      <c r="O142" s="342" t="str">
        <f t="shared" si="45"/>
        <v>OK</v>
      </c>
      <c r="P142" s="342" t="str">
        <f t="shared" si="45"/>
        <v>OK</v>
      </c>
      <c r="Q142" s="342" t="str">
        <f t="shared" si="45"/>
        <v>OK</v>
      </c>
      <c r="R142" s="342" t="str">
        <f t="shared" si="45"/>
        <v>OK</v>
      </c>
      <c r="S142" s="342" t="str">
        <f t="shared" si="45"/>
        <v>OK</v>
      </c>
      <c r="T142" s="342" t="str">
        <f t="shared" si="45"/>
        <v>OK</v>
      </c>
      <c r="U142" s="342" t="str">
        <f t="shared" si="45"/>
        <v>OK</v>
      </c>
      <c r="V142" s="342" t="str">
        <f t="shared" si="45"/>
        <v>OK</v>
      </c>
      <c r="W142" s="342" t="str">
        <f t="shared" si="45"/>
        <v>OK</v>
      </c>
      <c r="X142" s="342" t="str">
        <f t="shared" si="45"/>
        <v>OK</v>
      </c>
      <c r="Y142" s="342" t="str">
        <f t="shared" si="45"/>
        <v>OK</v>
      </c>
      <c r="Z142" s="342" t="str">
        <f t="shared" si="45"/>
        <v>OK</v>
      </c>
      <c r="AA142" s="342" t="str">
        <f t="shared" si="45"/>
        <v>OK</v>
      </c>
      <c r="AB142" s="342" t="str">
        <f t="shared" si="45"/>
        <v>OK</v>
      </c>
      <c r="AC142" s="342" t="str">
        <f t="shared" si="45"/>
        <v>OK</v>
      </c>
      <c r="AD142" s="342" t="str">
        <f t="shared" si="45"/>
        <v>OK</v>
      </c>
      <c r="AE142" s="342" t="str">
        <f t="shared" si="45"/>
        <v>OK</v>
      </c>
      <c r="AF142" s="342" t="str">
        <f t="shared" si="45"/>
        <v>OK</v>
      </c>
      <c r="AG142" s="342" t="str">
        <f t="shared" si="45"/>
        <v>OK</v>
      </c>
      <c r="AH142" s="342" t="str">
        <f t="shared" si="45"/>
        <v>OK</v>
      </c>
      <c r="AI142" s="342" t="str">
        <f t="shared" si="45"/>
        <v>OK</v>
      </c>
      <c r="AJ142" s="342" t="str">
        <f t="shared" si="45"/>
        <v>OK</v>
      </c>
      <c r="AK142" s="342" t="str">
        <f t="shared" si="45"/>
        <v>OK</v>
      </c>
      <c r="AL142" s="342" t="str">
        <f t="shared" si="45"/>
        <v>OK</v>
      </c>
      <c r="AM142" s="342" t="str">
        <f t="shared" si="45"/>
        <v>OK</v>
      </c>
      <c r="AN142" s="343" t="str">
        <f t="shared" si="45"/>
        <v>OK</v>
      </c>
    </row>
    <row r="143" spans="1:40" ht="14.25" outlineLevel="2">
      <c r="A143" s="641" t="s">
        <v>325</v>
      </c>
      <c r="B143" s="642"/>
      <c r="C143" s="642"/>
      <c r="D143" s="642"/>
      <c r="E143" s="643"/>
      <c r="F143" s="209" t="s">
        <v>377</v>
      </c>
      <c r="G143" s="459"/>
      <c r="H143" s="460"/>
      <c r="I143" s="460"/>
      <c r="J143" s="461"/>
      <c r="K143" s="341" t="str">
        <f aca="true" t="shared" si="46" ref="K143:AN143">IF(K90&gt;=K92,"OK","BŁĄD")</f>
        <v>OK</v>
      </c>
      <c r="L143" s="342" t="str">
        <f t="shared" si="46"/>
        <v>OK</v>
      </c>
      <c r="M143" s="342" t="str">
        <f t="shared" si="46"/>
        <v>OK</v>
      </c>
      <c r="N143" s="342" t="str">
        <f t="shared" si="46"/>
        <v>OK</v>
      </c>
      <c r="O143" s="342" t="str">
        <f t="shared" si="46"/>
        <v>OK</v>
      </c>
      <c r="P143" s="342" t="str">
        <f t="shared" si="46"/>
        <v>OK</v>
      </c>
      <c r="Q143" s="342" t="str">
        <f t="shared" si="46"/>
        <v>OK</v>
      </c>
      <c r="R143" s="342" t="str">
        <f t="shared" si="46"/>
        <v>OK</v>
      </c>
      <c r="S143" s="342" t="str">
        <f t="shared" si="46"/>
        <v>OK</v>
      </c>
      <c r="T143" s="342" t="str">
        <f t="shared" si="46"/>
        <v>OK</v>
      </c>
      <c r="U143" s="342" t="str">
        <f t="shared" si="46"/>
        <v>OK</v>
      </c>
      <c r="V143" s="342" t="str">
        <f t="shared" si="46"/>
        <v>OK</v>
      </c>
      <c r="W143" s="342" t="str">
        <f t="shared" si="46"/>
        <v>OK</v>
      </c>
      <c r="X143" s="342" t="str">
        <f t="shared" si="46"/>
        <v>OK</v>
      </c>
      <c r="Y143" s="342" t="str">
        <f t="shared" si="46"/>
        <v>OK</v>
      </c>
      <c r="Z143" s="342" t="str">
        <f t="shared" si="46"/>
        <v>OK</v>
      </c>
      <c r="AA143" s="342" t="str">
        <f t="shared" si="46"/>
        <v>OK</v>
      </c>
      <c r="AB143" s="342" t="str">
        <f t="shared" si="46"/>
        <v>OK</v>
      </c>
      <c r="AC143" s="342" t="str">
        <f t="shared" si="46"/>
        <v>OK</v>
      </c>
      <c r="AD143" s="342" t="str">
        <f t="shared" si="46"/>
        <v>OK</v>
      </c>
      <c r="AE143" s="342" t="str">
        <f t="shared" si="46"/>
        <v>OK</v>
      </c>
      <c r="AF143" s="342" t="str">
        <f t="shared" si="46"/>
        <v>OK</v>
      </c>
      <c r="AG143" s="342" t="str">
        <f t="shared" si="46"/>
        <v>OK</v>
      </c>
      <c r="AH143" s="342" t="str">
        <f t="shared" si="46"/>
        <v>OK</v>
      </c>
      <c r="AI143" s="342" t="str">
        <f t="shared" si="46"/>
        <v>OK</v>
      </c>
      <c r="AJ143" s="342" t="str">
        <f t="shared" si="46"/>
        <v>OK</v>
      </c>
      <c r="AK143" s="342" t="str">
        <f t="shared" si="46"/>
        <v>OK</v>
      </c>
      <c r="AL143" s="342" t="str">
        <f t="shared" si="46"/>
        <v>OK</v>
      </c>
      <c r="AM143" s="342" t="str">
        <f t="shared" si="46"/>
        <v>OK</v>
      </c>
      <c r="AN143" s="343" t="str">
        <f t="shared" si="46"/>
        <v>OK</v>
      </c>
    </row>
    <row r="144" spans="1:40" ht="14.25" outlineLevel="2">
      <c r="A144" s="641" t="s">
        <v>326</v>
      </c>
      <c r="B144" s="642"/>
      <c r="C144" s="642"/>
      <c r="D144" s="642"/>
      <c r="E144" s="643"/>
      <c r="F144" s="209" t="s">
        <v>378</v>
      </c>
      <c r="G144" s="459"/>
      <c r="H144" s="460"/>
      <c r="I144" s="460"/>
      <c r="J144" s="461"/>
      <c r="K144" s="341" t="str">
        <f aca="true" t="shared" si="47" ref="K144:AN144">IF(K93&gt;=K25,"OK","BŁĄD")</f>
        <v>OK</v>
      </c>
      <c r="L144" s="342" t="str">
        <f t="shared" si="47"/>
        <v>OK</v>
      </c>
      <c r="M144" s="342" t="str">
        <f t="shared" si="47"/>
        <v>OK</v>
      </c>
      <c r="N144" s="342" t="str">
        <f t="shared" si="47"/>
        <v>OK</v>
      </c>
      <c r="O144" s="342" t="str">
        <f t="shared" si="47"/>
        <v>OK</v>
      </c>
      <c r="P144" s="342" t="str">
        <f t="shared" si="47"/>
        <v>OK</v>
      </c>
      <c r="Q144" s="342" t="str">
        <f t="shared" si="47"/>
        <v>OK</v>
      </c>
      <c r="R144" s="342" t="str">
        <f t="shared" si="47"/>
        <v>OK</v>
      </c>
      <c r="S144" s="342" t="str">
        <f t="shared" si="47"/>
        <v>OK</v>
      </c>
      <c r="T144" s="342" t="str">
        <f t="shared" si="47"/>
        <v>OK</v>
      </c>
      <c r="U144" s="342" t="str">
        <f t="shared" si="47"/>
        <v>OK</v>
      </c>
      <c r="V144" s="342" t="str">
        <f t="shared" si="47"/>
        <v>OK</v>
      </c>
      <c r="W144" s="342" t="str">
        <f t="shared" si="47"/>
        <v>OK</v>
      </c>
      <c r="X144" s="342" t="str">
        <f t="shared" si="47"/>
        <v>OK</v>
      </c>
      <c r="Y144" s="342" t="str">
        <f t="shared" si="47"/>
        <v>OK</v>
      </c>
      <c r="Z144" s="342" t="str">
        <f t="shared" si="47"/>
        <v>OK</v>
      </c>
      <c r="AA144" s="342" t="str">
        <f t="shared" si="47"/>
        <v>OK</v>
      </c>
      <c r="AB144" s="342" t="str">
        <f t="shared" si="47"/>
        <v>OK</v>
      </c>
      <c r="AC144" s="342" t="str">
        <f t="shared" si="47"/>
        <v>OK</v>
      </c>
      <c r="AD144" s="342" t="str">
        <f t="shared" si="47"/>
        <v>OK</v>
      </c>
      <c r="AE144" s="342" t="str">
        <f t="shared" si="47"/>
        <v>OK</v>
      </c>
      <c r="AF144" s="342" t="str">
        <f t="shared" si="47"/>
        <v>OK</v>
      </c>
      <c r="AG144" s="342" t="str">
        <f t="shared" si="47"/>
        <v>OK</v>
      </c>
      <c r="AH144" s="342" t="str">
        <f t="shared" si="47"/>
        <v>OK</v>
      </c>
      <c r="AI144" s="342" t="str">
        <f t="shared" si="47"/>
        <v>OK</v>
      </c>
      <c r="AJ144" s="342" t="str">
        <f t="shared" si="47"/>
        <v>OK</v>
      </c>
      <c r="AK144" s="342" t="str">
        <f t="shared" si="47"/>
        <v>OK</v>
      </c>
      <c r="AL144" s="342" t="str">
        <f t="shared" si="47"/>
        <v>OK</v>
      </c>
      <c r="AM144" s="342" t="str">
        <f t="shared" si="47"/>
        <v>OK</v>
      </c>
      <c r="AN144" s="343" t="str">
        <f t="shared" si="47"/>
        <v>OK</v>
      </c>
    </row>
    <row r="145" spans="1:40" ht="14.25" outlineLevel="2">
      <c r="A145" s="641" t="s">
        <v>327</v>
      </c>
      <c r="B145" s="642"/>
      <c r="C145" s="642"/>
      <c r="D145" s="642"/>
      <c r="E145" s="643"/>
      <c r="F145" s="209" t="s">
        <v>379</v>
      </c>
      <c r="G145" s="459"/>
      <c r="H145" s="460"/>
      <c r="I145" s="460"/>
      <c r="J145" s="461"/>
      <c r="K145" s="341" t="str">
        <f aca="true" t="shared" si="48" ref="K145:AN145">IF(K100&gt;=(K101+K102+K103),"OK","BŁĄD")</f>
        <v>OK</v>
      </c>
      <c r="L145" s="342" t="str">
        <f t="shared" si="48"/>
        <v>OK</v>
      </c>
      <c r="M145" s="342" t="str">
        <f t="shared" si="48"/>
        <v>OK</v>
      </c>
      <c r="N145" s="342" t="str">
        <f t="shared" si="48"/>
        <v>OK</v>
      </c>
      <c r="O145" s="342" t="str">
        <f t="shared" si="48"/>
        <v>OK</v>
      </c>
      <c r="P145" s="342" t="str">
        <f t="shared" si="48"/>
        <v>OK</v>
      </c>
      <c r="Q145" s="342" t="str">
        <f t="shared" si="48"/>
        <v>OK</v>
      </c>
      <c r="R145" s="342" t="str">
        <f t="shared" si="48"/>
        <v>OK</v>
      </c>
      <c r="S145" s="342" t="str">
        <f t="shared" si="48"/>
        <v>OK</v>
      </c>
      <c r="T145" s="342" t="str">
        <f t="shared" si="48"/>
        <v>OK</v>
      </c>
      <c r="U145" s="342" t="str">
        <f t="shared" si="48"/>
        <v>OK</v>
      </c>
      <c r="V145" s="342" t="str">
        <f t="shared" si="48"/>
        <v>OK</v>
      </c>
      <c r="W145" s="342" t="str">
        <f t="shared" si="48"/>
        <v>OK</v>
      </c>
      <c r="X145" s="342" t="str">
        <f t="shared" si="48"/>
        <v>OK</v>
      </c>
      <c r="Y145" s="342" t="str">
        <f t="shared" si="48"/>
        <v>OK</v>
      </c>
      <c r="Z145" s="342" t="str">
        <f t="shared" si="48"/>
        <v>OK</v>
      </c>
      <c r="AA145" s="342" t="str">
        <f t="shared" si="48"/>
        <v>OK</v>
      </c>
      <c r="AB145" s="342" t="str">
        <f t="shared" si="48"/>
        <v>OK</v>
      </c>
      <c r="AC145" s="342" t="str">
        <f t="shared" si="48"/>
        <v>OK</v>
      </c>
      <c r="AD145" s="342" t="str">
        <f t="shared" si="48"/>
        <v>OK</v>
      </c>
      <c r="AE145" s="342" t="str">
        <f t="shared" si="48"/>
        <v>OK</v>
      </c>
      <c r="AF145" s="342" t="str">
        <f t="shared" si="48"/>
        <v>OK</v>
      </c>
      <c r="AG145" s="342" t="str">
        <f t="shared" si="48"/>
        <v>OK</v>
      </c>
      <c r="AH145" s="342" t="str">
        <f t="shared" si="48"/>
        <v>OK</v>
      </c>
      <c r="AI145" s="342" t="str">
        <f t="shared" si="48"/>
        <v>OK</v>
      </c>
      <c r="AJ145" s="342" t="str">
        <f t="shared" si="48"/>
        <v>OK</v>
      </c>
      <c r="AK145" s="342" t="str">
        <f t="shared" si="48"/>
        <v>OK</v>
      </c>
      <c r="AL145" s="342" t="str">
        <f t="shared" si="48"/>
        <v>OK</v>
      </c>
      <c r="AM145" s="342" t="str">
        <f t="shared" si="48"/>
        <v>OK</v>
      </c>
      <c r="AN145" s="343" t="str">
        <f t="shared" si="48"/>
        <v>OK</v>
      </c>
    </row>
    <row r="146" spans="1:40" ht="14.25" outlineLevel="2">
      <c r="A146" s="641" t="s">
        <v>329</v>
      </c>
      <c r="B146" s="642"/>
      <c r="C146" s="642"/>
      <c r="D146" s="642"/>
      <c r="E146" s="643"/>
      <c r="F146" s="209" t="s">
        <v>381</v>
      </c>
      <c r="G146" s="459"/>
      <c r="H146" s="460"/>
      <c r="I146" s="460"/>
      <c r="J146" s="461"/>
      <c r="K146" s="341" t="str">
        <f aca="true" t="shared" si="49" ref="K146:AN146">IF(K23&gt;=K24,"OK","BŁĄD")</f>
        <v>OK</v>
      </c>
      <c r="L146" s="342" t="str">
        <f t="shared" si="49"/>
        <v>OK</v>
      </c>
      <c r="M146" s="342" t="str">
        <f t="shared" si="49"/>
        <v>OK</v>
      </c>
      <c r="N146" s="342" t="str">
        <f t="shared" si="49"/>
        <v>OK</v>
      </c>
      <c r="O146" s="342" t="str">
        <f t="shared" si="49"/>
        <v>OK</v>
      </c>
      <c r="P146" s="342" t="str">
        <f t="shared" si="49"/>
        <v>OK</v>
      </c>
      <c r="Q146" s="342" t="str">
        <f t="shared" si="49"/>
        <v>OK</v>
      </c>
      <c r="R146" s="342" t="str">
        <f t="shared" si="49"/>
        <v>OK</v>
      </c>
      <c r="S146" s="342" t="str">
        <f t="shared" si="49"/>
        <v>OK</v>
      </c>
      <c r="T146" s="342" t="str">
        <f t="shared" si="49"/>
        <v>OK</v>
      </c>
      <c r="U146" s="342" t="str">
        <f t="shared" si="49"/>
        <v>OK</v>
      </c>
      <c r="V146" s="342" t="str">
        <f t="shared" si="49"/>
        <v>OK</v>
      </c>
      <c r="W146" s="342" t="str">
        <f t="shared" si="49"/>
        <v>OK</v>
      </c>
      <c r="X146" s="342" t="str">
        <f t="shared" si="49"/>
        <v>OK</v>
      </c>
      <c r="Y146" s="342" t="str">
        <f t="shared" si="49"/>
        <v>OK</v>
      </c>
      <c r="Z146" s="342" t="str">
        <f t="shared" si="49"/>
        <v>OK</v>
      </c>
      <c r="AA146" s="342" t="str">
        <f t="shared" si="49"/>
        <v>OK</v>
      </c>
      <c r="AB146" s="342" t="str">
        <f t="shared" si="49"/>
        <v>OK</v>
      </c>
      <c r="AC146" s="342" t="str">
        <f t="shared" si="49"/>
        <v>OK</v>
      </c>
      <c r="AD146" s="342" t="str">
        <f t="shared" si="49"/>
        <v>OK</v>
      </c>
      <c r="AE146" s="342" t="str">
        <f t="shared" si="49"/>
        <v>OK</v>
      </c>
      <c r="AF146" s="342" t="str">
        <f t="shared" si="49"/>
        <v>OK</v>
      </c>
      <c r="AG146" s="342" t="str">
        <f t="shared" si="49"/>
        <v>OK</v>
      </c>
      <c r="AH146" s="342" t="str">
        <f t="shared" si="49"/>
        <v>OK</v>
      </c>
      <c r="AI146" s="342" t="str">
        <f t="shared" si="49"/>
        <v>OK</v>
      </c>
      <c r="AJ146" s="342" t="str">
        <f t="shared" si="49"/>
        <v>OK</v>
      </c>
      <c r="AK146" s="342" t="str">
        <f t="shared" si="49"/>
        <v>OK</v>
      </c>
      <c r="AL146" s="342" t="str">
        <f t="shared" si="49"/>
        <v>OK</v>
      </c>
      <c r="AM146" s="342" t="str">
        <f t="shared" si="49"/>
        <v>OK</v>
      </c>
      <c r="AN146" s="343" t="str">
        <f t="shared" si="49"/>
        <v>OK</v>
      </c>
    </row>
    <row r="147" spans="1:40" ht="14.25" outlineLevel="2">
      <c r="A147" s="641" t="s">
        <v>328</v>
      </c>
      <c r="B147" s="642"/>
      <c r="C147" s="642"/>
      <c r="D147" s="642"/>
      <c r="E147" s="643"/>
      <c r="F147" s="209" t="s">
        <v>380</v>
      </c>
      <c r="G147" s="459"/>
      <c r="H147" s="460"/>
      <c r="I147" s="460"/>
      <c r="J147" s="461"/>
      <c r="K147" s="341" t="str">
        <f aca="true" t="shared" si="50" ref="K147:AN147">IF(K23&gt;=K103,"OK","BŁĄD")</f>
        <v>OK</v>
      </c>
      <c r="L147" s="342" t="str">
        <f t="shared" si="50"/>
        <v>OK</v>
      </c>
      <c r="M147" s="342" t="str">
        <f t="shared" si="50"/>
        <v>OK</v>
      </c>
      <c r="N147" s="342" t="str">
        <f t="shared" si="50"/>
        <v>OK</v>
      </c>
      <c r="O147" s="342" t="str">
        <f t="shared" si="50"/>
        <v>OK</v>
      </c>
      <c r="P147" s="342" t="str">
        <f t="shared" si="50"/>
        <v>OK</v>
      </c>
      <c r="Q147" s="342" t="str">
        <f t="shared" si="50"/>
        <v>OK</v>
      </c>
      <c r="R147" s="342" t="str">
        <f t="shared" si="50"/>
        <v>OK</v>
      </c>
      <c r="S147" s="342" t="str">
        <f t="shared" si="50"/>
        <v>OK</v>
      </c>
      <c r="T147" s="342" t="str">
        <f t="shared" si="50"/>
        <v>OK</v>
      </c>
      <c r="U147" s="342" t="str">
        <f t="shared" si="50"/>
        <v>OK</v>
      </c>
      <c r="V147" s="342" t="str">
        <f t="shared" si="50"/>
        <v>OK</v>
      </c>
      <c r="W147" s="342" t="str">
        <f t="shared" si="50"/>
        <v>OK</v>
      </c>
      <c r="X147" s="342" t="str">
        <f t="shared" si="50"/>
        <v>OK</v>
      </c>
      <c r="Y147" s="342" t="str">
        <f t="shared" si="50"/>
        <v>OK</v>
      </c>
      <c r="Z147" s="342" t="str">
        <f t="shared" si="50"/>
        <v>OK</v>
      </c>
      <c r="AA147" s="342" t="str">
        <f t="shared" si="50"/>
        <v>OK</v>
      </c>
      <c r="AB147" s="342" t="str">
        <f t="shared" si="50"/>
        <v>OK</v>
      </c>
      <c r="AC147" s="342" t="str">
        <f t="shared" si="50"/>
        <v>OK</v>
      </c>
      <c r="AD147" s="342" t="str">
        <f t="shared" si="50"/>
        <v>OK</v>
      </c>
      <c r="AE147" s="342" t="str">
        <f t="shared" si="50"/>
        <v>OK</v>
      </c>
      <c r="AF147" s="342" t="str">
        <f t="shared" si="50"/>
        <v>OK</v>
      </c>
      <c r="AG147" s="342" t="str">
        <f t="shared" si="50"/>
        <v>OK</v>
      </c>
      <c r="AH147" s="342" t="str">
        <f t="shared" si="50"/>
        <v>OK</v>
      </c>
      <c r="AI147" s="342" t="str">
        <f t="shared" si="50"/>
        <v>OK</v>
      </c>
      <c r="AJ147" s="342" t="str">
        <f t="shared" si="50"/>
        <v>OK</v>
      </c>
      <c r="AK147" s="342" t="str">
        <f t="shared" si="50"/>
        <v>OK</v>
      </c>
      <c r="AL147" s="342" t="str">
        <f t="shared" si="50"/>
        <v>OK</v>
      </c>
      <c r="AM147" s="342" t="str">
        <f t="shared" si="50"/>
        <v>OK</v>
      </c>
      <c r="AN147" s="343" t="str">
        <f t="shared" si="50"/>
        <v>OK</v>
      </c>
    </row>
    <row r="148" spans="1:40" ht="14.25" outlineLevel="2">
      <c r="A148" s="641" t="s">
        <v>330</v>
      </c>
      <c r="B148" s="642"/>
      <c r="C148" s="642"/>
      <c r="D148" s="642"/>
      <c r="E148" s="643"/>
      <c r="F148" s="209" t="s">
        <v>382</v>
      </c>
      <c r="G148" s="459"/>
      <c r="H148" s="460"/>
      <c r="I148" s="460"/>
      <c r="J148" s="461"/>
      <c r="K148" s="341" t="str">
        <f aca="true" t="shared" si="51" ref="K148:AN148">IF(K26&gt;=K27,"OK","BŁĄD")</f>
        <v>OK</v>
      </c>
      <c r="L148" s="342" t="str">
        <f t="shared" si="51"/>
        <v>OK</v>
      </c>
      <c r="M148" s="342" t="str">
        <f t="shared" si="51"/>
        <v>OK</v>
      </c>
      <c r="N148" s="342" t="str">
        <f t="shared" si="51"/>
        <v>OK</v>
      </c>
      <c r="O148" s="342" t="str">
        <f t="shared" si="51"/>
        <v>OK</v>
      </c>
      <c r="P148" s="342" t="str">
        <f t="shared" si="51"/>
        <v>OK</v>
      </c>
      <c r="Q148" s="342" t="str">
        <f t="shared" si="51"/>
        <v>OK</v>
      </c>
      <c r="R148" s="342" t="str">
        <f t="shared" si="51"/>
        <v>OK</v>
      </c>
      <c r="S148" s="342" t="str">
        <f t="shared" si="51"/>
        <v>OK</v>
      </c>
      <c r="T148" s="342" t="str">
        <f t="shared" si="51"/>
        <v>OK</v>
      </c>
      <c r="U148" s="342" t="str">
        <f t="shared" si="51"/>
        <v>OK</v>
      </c>
      <c r="V148" s="342" t="str">
        <f t="shared" si="51"/>
        <v>OK</v>
      </c>
      <c r="W148" s="342" t="str">
        <f t="shared" si="51"/>
        <v>OK</v>
      </c>
      <c r="X148" s="342" t="str">
        <f t="shared" si="51"/>
        <v>OK</v>
      </c>
      <c r="Y148" s="342" t="str">
        <f t="shared" si="51"/>
        <v>OK</v>
      </c>
      <c r="Z148" s="342" t="str">
        <f t="shared" si="51"/>
        <v>OK</v>
      </c>
      <c r="AA148" s="342" t="str">
        <f t="shared" si="51"/>
        <v>OK</v>
      </c>
      <c r="AB148" s="342" t="str">
        <f t="shared" si="51"/>
        <v>OK</v>
      </c>
      <c r="AC148" s="342" t="str">
        <f t="shared" si="51"/>
        <v>OK</v>
      </c>
      <c r="AD148" s="342" t="str">
        <f t="shared" si="51"/>
        <v>OK</v>
      </c>
      <c r="AE148" s="342" t="str">
        <f t="shared" si="51"/>
        <v>OK</v>
      </c>
      <c r="AF148" s="342" t="str">
        <f t="shared" si="51"/>
        <v>OK</v>
      </c>
      <c r="AG148" s="342" t="str">
        <f t="shared" si="51"/>
        <v>OK</v>
      </c>
      <c r="AH148" s="342" t="str">
        <f t="shared" si="51"/>
        <v>OK</v>
      </c>
      <c r="AI148" s="342" t="str">
        <f t="shared" si="51"/>
        <v>OK</v>
      </c>
      <c r="AJ148" s="342" t="str">
        <f t="shared" si="51"/>
        <v>OK</v>
      </c>
      <c r="AK148" s="342" t="str">
        <f t="shared" si="51"/>
        <v>OK</v>
      </c>
      <c r="AL148" s="342" t="str">
        <f t="shared" si="51"/>
        <v>OK</v>
      </c>
      <c r="AM148" s="342" t="str">
        <f t="shared" si="51"/>
        <v>OK</v>
      </c>
      <c r="AN148" s="343" t="str">
        <f t="shared" si="51"/>
        <v>OK</v>
      </c>
    </row>
    <row r="149" spans="1:40" ht="14.25" outlineLevel="2">
      <c r="A149" s="641" t="s">
        <v>331</v>
      </c>
      <c r="B149" s="642"/>
      <c r="C149" s="642"/>
      <c r="D149" s="642"/>
      <c r="E149" s="643"/>
      <c r="F149" s="209" t="s">
        <v>383</v>
      </c>
      <c r="G149" s="459"/>
      <c r="H149" s="460"/>
      <c r="I149" s="460"/>
      <c r="J149" s="461"/>
      <c r="K149" s="341" t="str">
        <f aca="true" t="shared" si="52" ref="K149:AN149">IF(K22&gt;=(K23+K25+K26),"OK","BŁĄD")</f>
        <v>OK</v>
      </c>
      <c r="L149" s="342" t="str">
        <f t="shared" si="52"/>
        <v>OK</v>
      </c>
      <c r="M149" s="342" t="str">
        <f t="shared" si="52"/>
        <v>OK</v>
      </c>
      <c r="N149" s="342" t="str">
        <f t="shared" si="52"/>
        <v>OK</v>
      </c>
      <c r="O149" s="342" t="str">
        <f t="shared" si="52"/>
        <v>OK</v>
      </c>
      <c r="P149" s="342" t="str">
        <f t="shared" si="52"/>
        <v>OK</v>
      </c>
      <c r="Q149" s="342" t="str">
        <f t="shared" si="52"/>
        <v>OK</v>
      </c>
      <c r="R149" s="342" t="str">
        <f t="shared" si="52"/>
        <v>OK</v>
      </c>
      <c r="S149" s="342" t="str">
        <f t="shared" si="52"/>
        <v>OK</v>
      </c>
      <c r="T149" s="342" t="str">
        <f t="shared" si="52"/>
        <v>OK</v>
      </c>
      <c r="U149" s="342" t="str">
        <f t="shared" si="52"/>
        <v>OK</v>
      </c>
      <c r="V149" s="342" t="str">
        <f t="shared" si="52"/>
        <v>OK</v>
      </c>
      <c r="W149" s="342" t="str">
        <f t="shared" si="52"/>
        <v>OK</v>
      </c>
      <c r="X149" s="342" t="str">
        <f t="shared" si="52"/>
        <v>OK</v>
      </c>
      <c r="Y149" s="342" t="str">
        <f t="shared" si="52"/>
        <v>OK</v>
      </c>
      <c r="Z149" s="342" t="str">
        <f t="shared" si="52"/>
        <v>OK</v>
      </c>
      <c r="AA149" s="342" t="str">
        <f t="shared" si="52"/>
        <v>OK</v>
      </c>
      <c r="AB149" s="342" t="str">
        <f t="shared" si="52"/>
        <v>OK</v>
      </c>
      <c r="AC149" s="342" t="str">
        <f t="shared" si="52"/>
        <v>OK</v>
      </c>
      <c r="AD149" s="342" t="str">
        <f t="shared" si="52"/>
        <v>OK</v>
      </c>
      <c r="AE149" s="342" t="str">
        <f t="shared" si="52"/>
        <v>OK</v>
      </c>
      <c r="AF149" s="342" t="str">
        <f t="shared" si="52"/>
        <v>OK</v>
      </c>
      <c r="AG149" s="342" t="str">
        <f t="shared" si="52"/>
        <v>OK</v>
      </c>
      <c r="AH149" s="342" t="str">
        <f t="shared" si="52"/>
        <v>OK</v>
      </c>
      <c r="AI149" s="342" t="str">
        <f t="shared" si="52"/>
        <v>OK</v>
      </c>
      <c r="AJ149" s="342" t="str">
        <f t="shared" si="52"/>
        <v>OK</v>
      </c>
      <c r="AK149" s="342" t="str">
        <f t="shared" si="52"/>
        <v>OK</v>
      </c>
      <c r="AL149" s="342" t="str">
        <f t="shared" si="52"/>
        <v>OK</v>
      </c>
      <c r="AM149" s="342" t="str">
        <f t="shared" si="52"/>
        <v>OK</v>
      </c>
      <c r="AN149" s="343" t="str">
        <f t="shared" si="52"/>
        <v>OK</v>
      </c>
    </row>
    <row r="150" spans="1:40" ht="14.25" outlineLevel="2">
      <c r="A150" s="641" t="s">
        <v>332</v>
      </c>
      <c r="B150" s="642"/>
      <c r="C150" s="642"/>
      <c r="D150" s="642"/>
      <c r="E150" s="643"/>
      <c r="F150" s="209" t="s">
        <v>384</v>
      </c>
      <c r="G150" s="459"/>
      <c r="H150" s="460"/>
      <c r="I150" s="460"/>
      <c r="J150" s="461"/>
      <c r="K150" s="341" t="str">
        <f aca="true" t="shared" si="53" ref="K150:AN150">IF(K22&gt;=K68,"OK","BŁĄD")</f>
        <v>OK</v>
      </c>
      <c r="L150" s="342" t="str">
        <f t="shared" si="53"/>
        <v>OK</v>
      </c>
      <c r="M150" s="342" t="str">
        <f t="shared" si="53"/>
        <v>OK</v>
      </c>
      <c r="N150" s="342" t="str">
        <f t="shared" si="53"/>
        <v>OK</v>
      </c>
      <c r="O150" s="342" t="str">
        <f t="shared" si="53"/>
        <v>OK</v>
      </c>
      <c r="P150" s="342" t="str">
        <f t="shared" si="53"/>
        <v>OK</v>
      </c>
      <c r="Q150" s="342" t="str">
        <f t="shared" si="53"/>
        <v>OK</v>
      </c>
      <c r="R150" s="342" t="str">
        <f t="shared" si="53"/>
        <v>OK</v>
      </c>
      <c r="S150" s="342" t="str">
        <f t="shared" si="53"/>
        <v>OK</v>
      </c>
      <c r="T150" s="342" t="str">
        <f t="shared" si="53"/>
        <v>OK</v>
      </c>
      <c r="U150" s="342" t="str">
        <f t="shared" si="53"/>
        <v>OK</v>
      </c>
      <c r="V150" s="342" t="str">
        <f t="shared" si="53"/>
        <v>OK</v>
      </c>
      <c r="W150" s="342" t="str">
        <f t="shared" si="53"/>
        <v>OK</v>
      </c>
      <c r="X150" s="342" t="str">
        <f t="shared" si="53"/>
        <v>OK</v>
      </c>
      <c r="Y150" s="342" t="str">
        <f t="shared" si="53"/>
        <v>OK</v>
      </c>
      <c r="Z150" s="342" t="str">
        <f t="shared" si="53"/>
        <v>OK</v>
      </c>
      <c r="AA150" s="342" t="str">
        <f t="shared" si="53"/>
        <v>OK</v>
      </c>
      <c r="AB150" s="342" t="str">
        <f t="shared" si="53"/>
        <v>OK</v>
      </c>
      <c r="AC150" s="342" t="str">
        <f t="shared" si="53"/>
        <v>OK</v>
      </c>
      <c r="AD150" s="342" t="str">
        <f t="shared" si="53"/>
        <v>OK</v>
      </c>
      <c r="AE150" s="342" t="str">
        <f t="shared" si="53"/>
        <v>OK</v>
      </c>
      <c r="AF150" s="342" t="str">
        <f t="shared" si="53"/>
        <v>OK</v>
      </c>
      <c r="AG150" s="342" t="str">
        <f t="shared" si="53"/>
        <v>OK</v>
      </c>
      <c r="AH150" s="342" t="str">
        <f t="shared" si="53"/>
        <v>OK</v>
      </c>
      <c r="AI150" s="342" t="str">
        <f t="shared" si="53"/>
        <v>OK</v>
      </c>
      <c r="AJ150" s="342" t="str">
        <f t="shared" si="53"/>
        <v>OK</v>
      </c>
      <c r="AK150" s="342" t="str">
        <f t="shared" si="53"/>
        <v>OK</v>
      </c>
      <c r="AL150" s="342" t="str">
        <f t="shared" si="53"/>
        <v>OK</v>
      </c>
      <c r="AM150" s="342" t="str">
        <f t="shared" si="53"/>
        <v>OK</v>
      </c>
      <c r="AN150" s="343" t="str">
        <f t="shared" si="53"/>
        <v>OK</v>
      </c>
    </row>
    <row r="151" spans="1:40" ht="14.25" outlineLevel="2">
      <c r="A151" s="641" t="s">
        <v>333</v>
      </c>
      <c r="B151" s="642"/>
      <c r="C151" s="642"/>
      <c r="D151" s="642"/>
      <c r="E151" s="643"/>
      <c r="F151" s="209" t="s">
        <v>385</v>
      </c>
      <c r="G151" s="459"/>
      <c r="H151" s="460"/>
      <c r="I151" s="460"/>
      <c r="J151" s="461"/>
      <c r="K151" s="341" t="str">
        <f aca="true" t="shared" si="54" ref="K151:AN151">IF(K22&gt;=K71,"OK","BŁĄD")</f>
        <v>OK</v>
      </c>
      <c r="L151" s="342" t="str">
        <f t="shared" si="54"/>
        <v>OK</v>
      </c>
      <c r="M151" s="342" t="str">
        <f t="shared" si="54"/>
        <v>OK</v>
      </c>
      <c r="N151" s="342" t="str">
        <f t="shared" si="54"/>
        <v>OK</v>
      </c>
      <c r="O151" s="342" t="str">
        <f t="shared" si="54"/>
        <v>OK</v>
      </c>
      <c r="P151" s="342" t="str">
        <f t="shared" si="54"/>
        <v>OK</v>
      </c>
      <c r="Q151" s="342" t="str">
        <f t="shared" si="54"/>
        <v>OK</v>
      </c>
      <c r="R151" s="342" t="str">
        <f t="shared" si="54"/>
        <v>OK</v>
      </c>
      <c r="S151" s="342" t="str">
        <f t="shared" si="54"/>
        <v>OK</v>
      </c>
      <c r="T151" s="342" t="str">
        <f t="shared" si="54"/>
        <v>OK</v>
      </c>
      <c r="U151" s="342" t="str">
        <f t="shared" si="54"/>
        <v>OK</v>
      </c>
      <c r="V151" s="342" t="str">
        <f t="shared" si="54"/>
        <v>OK</v>
      </c>
      <c r="W151" s="342" t="str">
        <f t="shared" si="54"/>
        <v>OK</v>
      </c>
      <c r="X151" s="342" t="str">
        <f t="shared" si="54"/>
        <v>OK</v>
      </c>
      <c r="Y151" s="342" t="str">
        <f t="shared" si="54"/>
        <v>OK</v>
      </c>
      <c r="Z151" s="342" t="str">
        <f t="shared" si="54"/>
        <v>OK</v>
      </c>
      <c r="AA151" s="342" t="str">
        <f t="shared" si="54"/>
        <v>OK</v>
      </c>
      <c r="AB151" s="342" t="str">
        <f t="shared" si="54"/>
        <v>OK</v>
      </c>
      <c r="AC151" s="342" t="str">
        <f t="shared" si="54"/>
        <v>OK</v>
      </c>
      <c r="AD151" s="342" t="str">
        <f t="shared" si="54"/>
        <v>OK</v>
      </c>
      <c r="AE151" s="342" t="str">
        <f t="shared" si="54"/>
        <v>OK</v>
      </c>
      <c r="AF151" s="342" t="str">
        <f t="shared" si="54"/>
        <v>OK</v>
      </c>
      <c r="AG151" s="342" t="str">
        <f t="shared" si="54"/>
        <v>OK</v>
      </c>
      <c r="AH151" s="342" t="str">
        <f t="shared" si="54"/>
        <v>OK</v>
      </c>
      <c r="AI151" s="342" t="str">
        <f t="shared" si="54"/>
        <v>OK</v>
      </c>
      <c r="AJ151" s="342" t="str">
        <f t="shared" si="54"/>
        <v>OK</v>
      </c>
      <c r="AK151" s="342" t="str">
        <f t="shared" si="54"/>
        <v>OK</v>
      </c>
      <c r="AL151" s="342" t="str">
        <f t="shared" si="54"/>
        <v>OK</v>
      </c>
      <c r="AM151" s="342" t="str">
        <f t="shared" si="54"/>
        <v>OK</v>
      </c>
      <c r="AN151" s="343" t="str">
        <f t="shared" si="54"/>
        <v>OK</v>
      </c>
    </row>
    <row r="152" spans="1:40" ht="14.25" outlineLevel="2">
      <c r="A152" s="641" t="s">
        <v>334</v>
      </c>
      <c r="B152" s="642"/>
      <c r="C152" s="642"/>
      <c r="D152" s="642"/>
      <c r="E152" s="643"/>
      <c r="F152" s="209" t="s">
        <v>386</v>
      </c>
      <c r="G152" s="459"/>
      <c r="H152" s="460"/>
      <c r="I152" s="460"/>
      <c r="J152" s="461"/>
      <c r="K152" s="341" t="str">
        <f aca="true" t="shared" si="55" ref="K152:AN152">IF(K22&gt;=K83,"OK","BŁĄD")</f>
        <v>OK</v>
      </c>
      <c r="L152" s="342" t="str">
        <f t="shared" si="55"/>
        <v>OK</v>
      </c>
      <c r="M152" s="342" t="str">
        <f t="shared" si="55"/>
        <v>OK</v>
      </c>
      <c r="N152" s="342" t="str">
        <f t="shared" si="55"/>
        <v>OK</v>
      </c>
      <c r="O152" s="342" t="str">
        <f t="shared" si="55"/>
        <v>OK</v>
      </c>
      <c r="P152" s="342" t="str">
        <f t="shared" si="55"/>
        <v>OK</v>
      </c>
      <c r="Q152" s="342" t="str">
        <f t="shared" si="55"/>
        <v>OK</v>
      </c>
      <c r="R152" s="342" t="str">
        <f t="shared" si="55"/>
        <v>OK</v>
      </c>
      <c r="S152" s="342" t="str">
        <f t="shared" si="55"/>
        <v>OK</v>
      </c>
      <c r="T152" s="342" t="str">
        <f t="shared" si="55"/>
        <v>OK</v>
      </c>
      <c r="U152" s="342" t="str">
        <f t="shared" si="55"/>
        <v>OK</v>
      </c>
      <c r="V152" s="342" t="str">
        <f t="shared" si="55"/>
        <v>OK</v>
      </c>
      <c r="W152" s="342" t="str">
        <f t="shared" si="55"/>
        <v>OK</v>
      </c>
      <c r="X152" s="342" t="str">
        <f t="shared" si="55"/>
        <v>OK</v>
      </c>
      <c r="Y152" s="342" t="str">
        <f t="shared" si="55"/>
        <v>OK</v>
      </c>
      <c r="Z152" s="342" t="str">
        <f t="shared" si="55"/>
        <v>OK</v>
      </c>
      <c r="AA152" s="342" t="str">
        <f t="shared" si="55"/>
        <v>OK</v>
      </c>
      <c r="AB152" s="342" t="str">
        <f t="shared" si="55"/>
        <v>OK</v>
      </c>
      <c r="AC152" s="342" t="str">
        <f t="shared" si="55"/>
        <v>OK</v>
      </c>
      <c r="AD152" s="342" t="str">
        <f t="shared" si="55"/>
        <v>OK</v>
      </c>
      <c r="AE152" s="342" t="str">
        <f t="shared" si="55"/>
        <v>OK</v>
      </c>
      <c r="AF152" s="342" t="str">
        <f t="shared" si="55"/>
        <v>OK</v>
      </c>
      <c r="AG152" s="342" t="str">
        <f t="shared" si="55"/>
        <v>OK</v>
      </c>
      <c r="AH152" s="342" t="str">
        <f t="shared" si="55"/>
        <v>OK</v>
      </c>
      <c r="AI152" s="342" t="str">
        <f t="shared" si="55"/>
        <v>OK</v>
      </c>
      <c r="AJ152" s="342" t="str">
        <f t="shared" si="55"/>
        <v>OK</v>
      </c>
      <c r="AK152" s="342" t="str">
        <f t="shared" si="55"/>
        <v>OK</v>
      </c>
      <c r="AL152" s="342" t="str">
        <f t="shared" si="55"/>
        <v>OK</v>
      </c>
      <c r="AM152" s="342" t="str">
        <f t="shared" si="55"/>
        <v>OK</v>
      </c>
      <c r="AN152" s="343" t="str">
        <f t="shared" si="55"/>
        <v>OK</v>
      </c>
    </row>
    <row r="153" spans="1:40" ht="14.25" outlineLevel="2">
      <c r="A153" s="641" t="s">
        <v>335</v>
      </c>
      <c r="B153" s="642"/>
      <c r="C153" s="642"/>
      <c r="D153" s="642"/>
      <c r="E153" s="643"/>
      <c r="F153" s="209" t="s">
        <v>387</v>
      </c>
      <c r="G153" s="459"/>
      <c r="H153" s="460"/>
      <c r="I153" s="460"/>
      <c r="J153" s="461"/>
      <c r="K153" s="341" t="str">
        <f aca="true" t="shared" si="56" ref="K153:AN153">IF(K22&gt;=K96,"OK","BŁĄD")</f>
        <v>OK</v>
      </c>
      <c r="L153" s="342" t="str">
        <f t="shared" si="56"/>
        <v>OK</v>
      </c>
      <c r="M153" s="342" t="str">
        <f t="shared" si="56"/>
        <v>OK</v>
      </c>
      <c r="N153" s="342" t="str">
        <f t="shared" si="56"/>
        <v>OK</v>
      </c>
      <c r="O153" s="342" t="str">
        <f t="shared" si="56"/>
        <v>OK</v>
      </c>
      <c r="P153" s="342" t="str">
        <f t="shared" si="56"/>
        <v>OK</v>
      </c>
      <c r="Q153" s="342" t="str">
        <f t="shared" si="56"/>
        <v>OK</v>
      </c>
      <c r="R153" s="342" t="str">
        <f t="shared" si="56"/>
        <v>OK</v>
      </c>
      <c r="S153" s="342" t="str">
        <f t="shared" si="56"/>
        <v>OK</v>
      </c>
      <c r="T153" s="342" t="str">
        <f t="shared" si="56"/>
        <v>OK</v>
      </c>
      <c r="U153" s="342" t="str">
        <f t="shared" si="56"/>
        <v>OK</v>
      </c>
      <c r="V153" s="342" t="str">
        <f t="shared" si="56"/>
        <v>OK</v>
      </c>
      <c r="W153" s="342" t="str">
        <f t="shared" si="56"/>
        <v>OK</v>
      </c>
      <c r="X153" s="342" t="str">
        <f t="shared" si="56"/>
        <v>OK</v>
      </c>
      <c r="Y153" s="342" t="str">
        <f t="shared" si="56"/>
        <v>OK</v>
      </c>
      <c r="Z153" s="342" t="str">
        <f t="shared" si="56"/>
        <v>OK</v>
      </c>
      <c r="AA153" s="342" t="str">
        <f t="shared" si="56"/>
        <v>OK</v>
      </c>
      <c r="AB153" s="342" t="str">
        <f t="shared" si="56"/>
        <v>OK</v>
      </c>
      <c r="AC153" s="342" t="str">
        <f t="shared" si="56"/>
        <v>OK</v>
      </c>
      <c r="AD153" s="342" t="str">
        <f t="shared" si="56"/>
        <v>OK</v>
      </c>
      <c r="AE153" s="342" t="str">
        <f t="shared" si="56"/>
        <v>OK</v>
      </c>
      <c r="AF153" s="342" t="str">
        <f t="shared" si="56"/>
        <v>OK</v>
      </c>
      <c r="AG153" s="342" t="str">
        <f t="shared" si="56"/>
        <v>OK</v>
      </c>
      <c r="AH153" s="342" t="str">
        <f t="shared" si="56"/>
        <v>OK</v>
      </c>
      <c r="AI153" s="342" t="str">
        <f t="shared" si="56"/>
        <v>OK</v>
      </c>
      <c r="AJ153" s="342" t="str">
        <f t="shared" si="56"/>
        <v>OK</v>
      </c>
      <c r="AK153" s="342" t="str">
        <f t="shared" si="56"/>
        <v>OK</v>
      </c>
      <c r="AL153" s="342" t="str">
        <f t="shared" si="56"/>
        <v>OK</v>
      </c>
      <c r="AM153" s="342" t="str">
        <f t="shared" si="56"/>
        <v>OK</v>
      </c>
      <c r="AN153" s="343" t="str">
        <f t="shared" si="56"/>
        <v>OK</v>
      </c>
    </row>
    <row r="154" spans="1:40" ht="14.25" outlineLevel="2">
      <c r="A154" s="641" t="s">
        <v>336</v>
      </c>
      <c r="B154" s="642"/>
      <c r="C154" s="642"/>
      <c r="D154" s="642"/>
      <c r="E154" s="643"/>
      <c r="F154" s="209" t="s">
        <v>388</v>
      </c>
      <c r="G154" s="459"/>
      <c r="H154" s="460"/>
      <c r="I154" s="460"/>
      <c r="J154" s="461"/>
      <c r="K154" s="341" t="str">
        <f aca="true" t="shared" si="57" ref="K154:AN154">IF(K28&gt;=K72,"OK","BŁĄD")</f>
        <v>OK</v>
      </c>
      <c r="L154" s="342" t="str">
        <f t="shared" si="57"/>
        <v>OK</v>
      </c>
      <c r="M154" s="342" t="str">
        <f t="shared" si="57"/>
        <v>OK</v>
      </c>
      <c r="N154" s="342" t="str">
        <f t="shared" si="57"/>
        <v>OK</v>
      </c>
      <c r="O154" s="342" t="str">
        <f t="shared" si="57"/>
        <v>OK</v>
      </c>
      <c r="P154" s="342" t="str">
        <f t="shared" si="57"/>
        <v>OK</v>
      </c>
      <c r="Q154" s="342" t="str">
        <f t="shared" si="57"/>
        <v>OK</v>
      </c>
      <c r="R154" s="342" t="str">
        <f t="shared" si="57"/>
        <v>OK</v>
      </c>
      <c r="S154" s="342" t="str">
        <f t="shared" si="57"/>
        <v>OK</v>
      </c>
      <c r="T154" s="342" t="str">
        <f t="shared" si="57"/>
        <v>OK</v>
      </c>
      <c r="U154" s="342" t="str">
        <f t="shared" si="57"/>
        <v>OK</v>
      </c>
      <c r="V154" s="342" t="str">
        <f t="shared" si="57"/>
        <v>OK</v>
      </c>
      <c r="W154" s="342" t="str">
        <f t="shared" si="57"/>
        <v>OK</v>
      </c>
      <c r="X154" s="342" t="str">
        <f t="shared" si="57"/>
        <v>OK</v>
      </c>
      <c r="Y154" s="342" t="str">
        <f t="shared" si="57"/>
        <v>OK</v>
      </c>
      <c r="Z154" s="342" t="str">
        <f t="shared" si="57"/>
        <v>OK</v>
      </c>
      <c r="AA154" s="342" t="str">
        <f t="shared" si="57"/>
        <v>OK</v>
      </c>
      <c r="AB154" s="342" t="str">
        <f t="shared" si="57"/>
        <v>OK</v>
      </c>
      <c r="AC154" s="342" t="str">
        <f t="shared" si="57"/>
        <v>OK</v>
      </c>
      <c r="AD154" s="342" t="str">
        <f t="shared" si="57"/>
        <v>OK</v>
      </c>
      <c r="AE154" s="342" t="str">
        <f t="shared" si="57"/>
        <v>OK</v>
      </c>
      <c r="AF154" s="342" t="str">
        <f t="shared" si="57"/>
        <v>OK</v>
      </c>
      <c r="AG154" s="342" t="str">
        <f t="shared" si="57"/>
        <v>OK</v>
      </c>
      <c r="AH154" s="342" t="str">
        <f t="shared" si="57"/>
        <v>OK</v>
      </c>
      <c r="AI154" s="342" t="str">
        <f t="shared" si="57"/>
        <v>OK</v>
      </c>
      <c r="AJ154" s="342" t="str">
        <f t="shared" si="57"/>
        <v>OK</v>
      </c>
      <c r="AK154" s="342" t="str">
        <f t="shared" si="57"/>
        <v>OK</v>
      </c>
      <c r="AL154" s="342" t="str">
        <f t="shared" si="57"/>
        <v>OK</v>
      </c>
      <c r="AM154" s="342" t="str">
        <f t="shared" si="57"/>
        <v>OK</v>
      </c>
      <c r="AN154" s="343" t="str">
        <f t="shared" si="57"/>
        <v>OK</v>
      </c>
    </row>
    <row r="155" spans="1:40" ht="14.25" outlineLevel="2">
      <c r="A155" s="641" t="s">
        <v>337</v>
      </c>
      <c r="B155" s="642"/>
      <c r="C155" s="642"/>
      <c r="D155" s="642"/>
      <c r="E155" s="643"/>
      <c r="F155" s="209" t="s">
        <v>389</v>
      </c>
      <c r="G155" s="459"/>
      <c r="H155" s="460"/>
      <c r="I155" s="460"/>
      <c r="J155" s="461"/>
      <c r="K155" s="341" t="str">
        <f aca="true" t="shared" si="58" ref="K155:AN155">IF(K28&gt;=K73+K74,"OK","BŁĄD")</f>
        <v>OK</v>
      </c>
      <c r="L155" s="342" t="str">
        <f t="shared" si="58"/>
        <v>OK</v>
      </c>
      <c r="M155" s="342" t="str">
        <f t="shared" si="58"/>
        <v>OK</v>
      </c>
      <c r="N155" s="342" t="str">
        <f t="shared" si="58"/>
        <v>OK</v>
      </c>
      <c r="O155" s="342" t="str">
        <f t="shared" si="58"/>
        <v>OK</v>
      </c>
      <c r="P155" s="342" t="str">
        <f t="shared" si="58"/>
        <v>OK</v>
      </c>
      <c r="Q155" s="342" t="str">
        <f t="shared" si="58"/>
        <v>OK</v>
      </c>
      <c r="R155" s="342" t="str">
        <f t="shared" si="58"/>
        <v>OK</v>
      </c>
      <c r="S155" s="342" t="str">
        <f t="shared" si="58"/>
        <v>OK</v>
      </c>
      <c r="T155" s="342" t="str">
        <f t="shared" si="58"/>
        <v>OK</v>
      </c>
      <c r="U155" s="342" t="str">
        <f t="shared" si="58"/>
        <v>OK</v>
      </c>
      <c r="V155" s="342" t="str">
        <f t="shared" si="58"/>
        <v>OK</v>
      </c>
      <c r="W155" s="342" t="str">
        <f t="shared" si="58"/>
        <v>OK</v>
      </c>
      <c r="X155" s="342" t="str">
        <f t="shared" si="58"/>
        <v>OK</v>
      </c>
      <c r="Y155" s="342" t="str">
        <f t="shared" si="58"/>
        <v>OK</v>
      </c>
      <c r="Z155" s="342" t="str">
        <f t="shared" si="58"/>
        <v>OK</v>
      </c>
      <c r="AA155" s="342" t="str">
        <f t="shared" si="58"/>
        <v>OK</v>
      </c>
      <c r="AB155" s="342" t="str">
        <f t="shared" si="58"/>
        <v>OK</v>
      </c>
      <c r="AC155" s="342" t="str">
        <f t="shared" si="58"/>
        <v>OK</v>
      </c>
      <c r="AD155" s="342" t="str">
        <f t="shared" si="58"/>
        <v>OK</v>
      </c>
      <c r="AE155" s="342" t="str">
        <f t="shared" si="58"/>
        <v>OK</v>
      </c>
      <c r="AF155" s="342" t="str">
        <f t="shared" si="58"/>
        <v>OK</v>
      </c>
      <c r="AG155" s="342" t="str">
        <f t="shared" si="58"/>
        <v>OK</v>
      </c>
      <c r="AH155" s="342" t="str">
        <f t="shared" si="58"/>
        <v>OK</v>
      </c>
      <c r="AI155" s="342" t="str">
        <f t="shared" si="58"/>
        <v>OK</v>
      </c>
      <c r="AJ155" s="342" t="str">
        <f t="shared" si="58"/>
        <v>OK</v>
      </c>
      <c r="AK155" s="342" t="str">
        <f t="shared" si="58"/>
        <v>OK</v>
      </c>
      <c r="AL155" s="342" t="str">
        <f t="shared" si="58"/>
        <v>OK</v>
      </c>
      <c r="AM155" s="342" t="str">
        <f t="shared" si="58"/>
        <v>OK</v>
      </c>
      <c r="AN155" s="343" t="str">
        <f t="shared" si="58"/>
        <v>OK</v>
      </c>
    </row>
    <row r="156" spans="1:40" ht="14.25" outlineLevel="2">
      <c r="A156" s="641" t="s">
        <v>338</v>
      </c>
      <c r="B156" s="642"/>
      <c r="C156" s="642"/>
      <c r="D156" s="642"/>
      <c r="E156" s="643"/>
      <c r="F156" s="209" t="s">
        <v>390</v>
      </c>
      <c r="G156" s="459"/>
      <c r="H156" s="460"/>
      <c r="I156" s="460"/>
      <c r="J156" s="461"/>
      <c r="K156" s="341" t="str">
        <f aca="true" t="shared" si="59" ref="K156:AN156">IF(K28&gt;=K75,"OK","BŁĄD")</f>
        <v>OK</v>
      </c>
      <c r="L156" s="342" t="str">
        <f t="shared" si="59"/>
        <v>OK</v>
      </c>
      <c r="M156" s="342" t="str">
        <f t="shared" si="59"/>
        <v>OK</v>
      </c>
      <c r="N156" s="342" t="str">
        <f t="shared" si="59"/>
        <v>OK</v>
      </c>
      <c r="O156" s="342" t="str">
        <f t="shared" si="59"/>
        <v>OK</v>
      </c>
      <c r="P156" s="342" t="str">
        <f t="shared" si="59"/>
        <v>OK</v>
      </c>
      <c r="Q156" s="342" t="str">
        <f t="shared" si="59"/>
        <v>OK</v>
      </c>
      <c r="R156" s="342" t="str">
        <f t="shared" si="59"/>
        <v>OK</v>
      </c>
      <c r="S156" s="342" t="str">
        <f t="shared" si="59"/>
        <v>OK</v>
      </c>
      <c r="T156" s="342" t="str">
        <f t="shared" si="59"/>
        <v>OK</v>
      </c>
      <c r="U156" s="342" t="str">
        <f t="shared" si="59"/>
        <v>OK</v>
      </c>
      <c r="V156" s="342" t="str">
        <f t="shared" si="59"/>
        <v>OK</v>
      </c>
      <c r="W156" s="342" t="str">
        <f t="shared" si="59"/>
        <v>OK</v>
      </c>
      <c r="X156" s="342" t="str">
        <f t="shared" si="59"/>
        <v>OK</v>
      </c>
      <c r="Y156" s="342" t="str">
        <f t="shared" si="59"/>
        <v>OK</v>
      </c>
      <c r="Z156" s="342" t="str">
        <f t="shared" si="59"/>
        <v>OK</v>
      </c>
      <c r="AA156" s="342" t="str">
        <f t="shared" si="59"/>
        <v>OK</v>
      </c>
      <c r="AB156" s="342" t="str">
        <f t="shared" si="59"/>
        <v>OK</v>
      </c>
      <c r="AC156" s="342" t="str">
        <f t="shared" si="59"/>
        <v>OK</v>
      </c>
      <c r="AD156" s="342" t="str">
        <f t="shared" si="59"/>
        <v>OK</v>
      </c>
      <c r="AE156" s="342" t="str">
        <f t="shared" si="59"/>
        <v>OK</v>
      </c>
      <c r="AF156" s="342" t="str">
        <f t="shared" si="59"/>
        <v>OK</v>
      </c>
      <c r="AG156" s="342" t="str">
        <f t="shared" si="59"/>
        <v>OK</v>
      </c>
      <c r="AH156" s="342" t="str">
        <f t="shared" si="59"/>
        <v>OK</v>
      </c>
      <c r="AI156" s="342" t="str">
        <f t="shared" si="59"/>
        <v>OK</v>
      </c>
      <c r="AJ156" s="342" t="str">
        <f t="shared" si="59"/>
        <v>OK</v>
      </c>
      <c r="AK156" s="342" t="str">
        <f t="shared" si="59"/>
        <v>OK</v>
      </c>
      <c r="AL156" s="342" t="str">
        <f t="shared" si="59"/>
        <v>OK</v>
      </c>
      <c r="AM156" s="342" t="str">
        <f t="shared" si="59"/>
        <v>OK</v>
      </c>
      <c r="AN156" s="343" t="str">
        <f t="shared" si="59"/>
        <v>OK</v>
      </c>
    </row>
    <row r="157" spans="1:40" ht="14.25" outlineLevel="2">
      <c r="A157" s="641" t="s">
        <v>339</v>
      </c>
      <c r="B157" s="642"/>
      <c r="C157" s="642"/>
      <c r="D157" s="642"/>
      <c r="E157" s="643"/>
      <c r="F157" s="209" t="s">
        <v>391</v>
      </c>
      <c r="G157" s="459"/>
      <c r="H157" s="460"/>
      <c r="I157" s="460"/>
      <c r="J157" s="461"/>
      <c r="K157" s="341" t="str">
        <f aca="true" t="shared" si="60" ref="K157:AN157">IF(K28&gt;=K86,"OK","BŁĄD")</f>
        <v>OK</v>
      </c>
      <c r="L157" s="342" t="str">
        <f t="shared" si="60"/>
        <v>OK</v>
      </c>
      <c r="M157" s="342" t="str">
        <f t="shared" si="60"/>
        <v>OK</v>
      </c>
      <c r="N157" s="342" t="str">
        <f t="shared" si="60"/>
        <v>OK</v>
      </c>
      <c r="O157" s="342" t="str">
        <f t="shared" si="60"/>
        <v>OK</v>
      </c>
      <c r="P157" s="342" t="str">
        <f t="shared" si="60"/>
        <v>OK</v>
      </c>
      <c r="Q157" s="342" t="str">
        <f t="shared" si="60"/>
        <v>OK</v>
      </c>
      <c r="R157" s="342" t="str">
        <f t="shared" si="60"/>
        <v>OK</v>
      </c>
      <c r="S157" s="342" t="str">
        <f t="shared" si="60"/>
        <v>OK</v>
      </c>
      <c r="T157" s="342" t="str">
        <f t="shared" si="60"/>
        <v>OK</v>
      </c>
      <c r="U157" s="342" t="str">
        <f t="shared" si="60"/>
        <v>OK</v>
      </c>
      <c r="V157" s="342" t="str">
        <f t="shared" si="60"/>
        <v>OK</v>
      </c>
      <c r="W157" s="342" t="str">
        <f t="shared" si="60"/>
        <v>OK</v>
      </c>
      <c r="X157" s="342" t="str">
        <f t="shared" si="60"/>
        <v>OK</v>
      </c>
      <c r="Y157" s="342" t="str">
        <f t="shared" si="60"/>
        <v>OK</v>
      </c>
      <c r="Z157" s="342" t="str">
        <f t="shared" si="60"/>
        <v>OK</v>
      </c>
      <c r="AA157" s="342" t="str">
        <f t="shared" si="60"/>
        <v>OK</v>
      </c>
      <c r="AB157" s="342" t="str">
        <f t="shared" si="60"/>
        <v>OK</v>
      </c>
      <c r="AC157" s="342" t="str">
        <f t="shared" si="60"/>
        <v>OK</v>
      </c>
      <c r="AD157" s="342" t="str">
        <f t="shared" si="60"/>
        <v>OK</v>
      </c>
      <c r="AE157" s="342" t="str">
        <f t="shared" si="60"/>
        <v>OK</v>
      </c>
      <c r="AF157" s="342" t="str">
        <f t="shared" si="60"/>
        <v>OK</v>
      </c>
      <c r="AG157" s="342" t="str">
        <f t="shared" si="60"/>
        <v>OK</v>
      </c>
      <c r="AH157" s="342" t="str">
        <f t="shared" si="60"/>
        <v>OK</v>
      </c>
      <c r="AI157" s="342" t="str">
        <f t="shared" si="60"/>
        <v>OK</v>
      </c>
      <c r="AJ157" s="342" t="str">
        <f t="shared" si="60"/>
        <v>OK</v>
      </c>
      <c r="AK157" s="342" t="str">
        <f t="shared" si="60"/>
        <v>OK</v>
      </c>
      <c r="AL157" s="342" t="str">
        <f t="shared" si="60"/>
        <v>OK</v>
      </c>
      <c r="AM157" s="342" t="str">
        <f t="shared" si="60"/>
        <v>OK</v>
      </c>
      <c r="AN157" s="343" t="str">
        <f t="shared" si="60"/>
        <v>OK</v>
      </c>
    </row>
    <row r="158" spans="1:40" ht="14.25" outlineLevel="2">
      <c r="A158" s="641" t="s">
        <v>340</v>
      </c>
      <c r="B158" s="642"/>
      <c r="C158" s="642"/>
      <c r="D158" s="642"/>
      <c r="E158" s="643"/>
      <c r="F158" s="209" t="s">
        <v>392</v>
      </c>
      <c r="G158" s="459"/>
      <c r="H158" s="460"/>
      <c r="I158" s="460"/>
      <c r="J158" s="461"/>
      <c r="K158" s="341" t="str">
        <f aca="true" t="shared" si="61" ref="K158:AN158">IF(K31&gt;=K32,"OK","BŁĄD")</f>
        <v>OK</v>
      </c>
      <c r="L158" s="342" t="str">
        <f t="shared" si="61"/>
        <v>OK</v>
      </c>
      <c r="M158" s="342" t="str">
        <f t="shared" si="61"/>
        <v>OK</v>
      </c>
      <c r="N158" s="342" t="str">
        <f t="shared" si="61"/>
        <v>OK</v>
      </c>
      <c r="O158" s="342" t="str">
        <f t="shared" si="61"/>
        <v>OK</v>
      </c>
      <c r="P158" s="342" t="str">
        <f t="shared" si="61"/>
        <v>OK</v>
      </c>
      <c r="Q158" s="342" t="str">
        <f t="shared" si="61"/>
        <v>OK</v>
      </c>
      <c r="R158" s="342" t="str">
        <f t="shared" si="61"/>
        <v>OK</v>
      </c>
      <c r="S158" s="342" t="str">
        <f t="shared" si="61"/>
        <v>OK</v>
      </c>
      <c r="T158" s="342" t="str">
        <f t="shared" si="61"/>
        <v>OK</v>
      </c>
      <c r="U158" s="342" t="str">
        <f t="shared" si="61"/>
        <v>OK</v>
      </c>
      <c r="V158" s="342" t="str">
        <f t="shared" si="61"/>
        <v>OK</v>
      </c>
      <c r="W158" s="342" t="str">
        <f t="shared" si="61"/>
        <v>OK</v>
      </c>
      <c r="X158" s="342" t="str">
        <f t="shared" si="61"/>
        <v>OK</v>
      </c>
      <c r="Y158" s="342" t="str">
        <f t="shared" si="61"/>
        <v>OK</v>
      </c>
      <c r="Z158" s="342" t="str">
        <f t="shared" si="61"/>
        <v>OK</v>
      </c>
      <c r="AA158" s="342" t="str">
        <f t="shared" si="61"/>
        <v>OK</v>
      </c>
      <c r="AB158" s="342" t="str">
        <f t="shared" si="61"/>
        <v>OK</v>
      </c>
      <c r="AC158" s="342" t="str">
        <f t="shared" si="61"/>
        <v>OK</v>
      </c>
      <c r="AD158" s="342" t="str">
        <f t="shared" si="61"/>
        <v>OK</v>
      </c>
      <c r="AE158" s="342" t="str">
        <f t="shared" si="61"/>
        <v>OK</v>
      </c>
      <c r="AF158" s="342" t="str">
        <f t="shared" si="61"/>
        <v>OK</v>
      </c>
      <c r="AG158" s="342" t="str">
        <f t="shared" si="61"/>
        <v>OK</v>
      </c>
      <c r="AH158" s="342" t="str">
        <f t="shared" si="61"/>
        <v>OK</v>
      </c>
      <c r="AI158" s="342" t="str">
        <f t="shared" si="61"/>
        <v>OK</v>
      </c>
      <c r="AJ158" s="342" t="str">
        <f t="shared" si="61"/>
        <v>OK</v>
      </c>
      <c r="AK158" s="342" t="str">
        <f t="shared" si="61"/>
        <v>OK</v>
      </c>
      <c r="AL158" s="342" t="str">
        <f t="shared" si="61"/>
        <v>OK</v>
      </c>
      <c r="AM158" s="342" t="str">
        <f t="shared" si="61"/>
        <v>OK</v>
      </c>
      <c r="AN158" s="343" t="str">
        <f t="shared" si="61"/>
        <v>OK</v>
      </c>
    </row>
    <row r="159" spans="1:40" ht="14.25" outlineLevel="2">
      <c r="A159" s="641" t="s">
        <v>341</v>
      </c>
      <c r="B159" s="642"/>
      <c r="C159" s="642"/>
      <c r="D159" s="642"/>
      <c r="E159" s="643"/>
      <c r="F159" s="209" t="s">
        <v>393</v>
      </c>
      <c r="G159" s="459"/>
      <c r="H159" s="460"/>
      <c r="I159" s="460"/>
      <c r="J159" s="461"/>
      <c r="K159" s="341" t="str">
        <f aca="true" t="shared" si="62" ref="K159:AN159">IF(K33&gt;=K34,"OK","BŁĄD")</f>
        <v>OK</v>
      </c>
      <c r="L159" s="342" t="str">
        <f t="shared" si="62"/>
        <v>OK</v>
      </c>
      <c r="M159" s="342" t="str">
        <f t="shared" si="62"/>
        <v>OK</v>
      </c>
      <c r="N159" s="342" t="str">
        <f t="shared" si="62"/>
        <v>OK</v>
      </c>
      <c r="O159" s="342" t="str">
        <f t="shared" si="62"/>
        <v>OK</v>
      </c>
      <c r="P159" s="342" t="str">
        <f t="shared" si="62"/>
        <v>OK</v>
      </c>
      <c r="Q159" s="342" t="str">
        <f t="shared" si="62"/>
        <v>OK</v>
      </c>
      <c r="R159" s="342" t="str">
        <f t="shared" si="62"/>
        <v>OK</v>
      </c>
      <c r="S159" s="342" t="str">
        <f t="shared" si="62"/>
        <v>OK</v>
      </c>
      <c r="T159" s="342" t="str">
        <f t="shared" si="62"/>
        <v>OK</v>
      </c>
      <c r="U159" s="342" t="str">
        <f t="shared" si="62"/>
        <v>OK</v>
      </c>
      <c r="V159" s="342" t="str">
        <f t="shared" si="62"/>
        <v>OK</v>
      </c>
      <c r="W159" s="342" t="str">
        <f t="shared" si="62"/>
        <v>OK</v>
      </c>
      <c r="X159" s="342" t="str">
        <f t="shared" si="62"/>
        <v>OK</v>
      </c>
      <c r="Y159" s="342" t="str">
        <f t="shared" si="62"/>
        <v>OK</v>
      </c>
      <c r="Z159" s="342" t="str">
        <f t="shared" si="62"/>
        <v>OK</v>
      </c>
      <c r="AA159" s="342" t="str">
        <f t="shared" si="62"/>
        <v>OK</v>
      </c>
      <c r="AB159" s="342" t="str">
        <f t="shared" si="62"/>
        <v>OK</v>
      </c>
      <c r="AC159" s="342" t="str">
        <f t="shared" si="62"/>
        <v>OK</v>
      </c>
      <c r="AD159" s="342" t="str">
        <f t="shared" si="62"/>
        <v>OK</v>
      </c>
      <c r="AE159" s="342" t="str">
        <f t="shared" si="62"/>
        <v>OK</v>
      </c>
      <c r="AF159" s="342" t="str">
        <f t="shared" si="62"/>
        <v>OK</v>
      </c>
      <c r="AG159" s="342" t="str">
        <f t="shared" si="62"/>
        <v>OK</v>
      </c>
      <c r="AH159" s="342" t="str">
        <f t="shared" si="62"/>
        <v>OK</v>
      </c>
      <c r="AI159" s="342" t="str">
        <f t="shared" si="62"/>
        <v>OK</v>
      </c>
      <c r="AJ159" s="342" t="str">
        <f t="shared" si="62"/>
        <v>OK</v>
      </c>
      <c r="AK159" s="342" t="str">
        <f t="shared" si="62"/>
        <v>OK</v>
      </c>
      <c r="AL159" s="342" t="str">
        <f t="shared" si="62"/>
        <v>OK</v>
      </c>
      <c r="AM159" s="342" t="str">
        <f t="shared" si="62"/>
        <v>OK</v>
      </c>
      <c r="AN159" s="343" t="str">
        <f t="shared" si="62"/>
        <v>OK</v>
      </c>
    </row>
    <row r="160" spans="1:40" ht="14.25" outlineLevel="2">
      <c r="A160" s="641" t="s">
        <v>342</v>
      </c>
      <c r="B160" s="642"/>
      <c r="C160" s="642"/>
      <c r="D160" s="642"/>
      <c r="E160" s="643"/>
      <c r="F160" s="209" t="s">
        <v>394</v>
      </c>
      <c r="G160" s="459"/>
      <c r="H160" s="460"/>
      <c r="I160" s="460"/>
      <c r="J160" s="461"/>
      <c r="K160" s="341" t="str">
        <f aca="true" t="shared" si="63" ref="K160:AN160">IF(K35&gt;=K36,"OK","BŁĄD")</f>
        <v>OK</v>
      </c>
      <c r="L160" s="342" t="str">
        <f t="shared" si="63"/>
        <v>OK</v>
      </c>
      <c r="M160" s="342" t="str">
        <f t="shared" si="63"/>
        <v>OK</v>
      </c>
      <c r="N160" s="342" t="str">
        <f t="shared" si="63"/>
        <v>OK</v>
      </c>
      <c r="O160" s="342" t="str">
        <f t="shared" si="63"/>
        <v>OK</v>
      </c>
      <c r="P160" s="342" t="str">
        <f t="shared" si="63"/>
        <v>OK</v>
      </c>
      <c r="Q160" s="342" t="str">
        <f t="shared" si="63"/>
        <v>OK</v>
      </c>
      <c r="R160" s="342" t="str">
        <f t="shared" si="63"/>
        <v>OK</v>
      </c>
      <c r="S160" s="342" t="str">
        <f t="shared" si="63"/>
        <v>OK</v>
      </c>
      <c r="T160" s="342" t="str">
        <f t="shared" si="63"/>
        <v>OK</v>
      </c>
      <c r="U160" s="342" t="str">
        <f t="shared" si="63"/>
        <v>OK</v>
      </c>
      <c r="V160" s="342" t="str">
        <f t="shared" si="63"/>
        <v>OK</v>
      </c>
      <c r="W160" s="342" t="str">
        <f t="shared" si="63"/>
        <v>OK</v>
      </c>
      <c r="X160" s="342" t="str">
        <f t="shared" si="63"/>
        <v>OK</v>
      </c>
      <c r="Y160" s="342" t="str">
        <f t="shared" si="63"/>
        <v>OK</v>
      </c>
      <c r="Z160" s="342" t="str">
        <f t="shared" si="63"/>
        <v>OK</v>
      </c>
      <c r="AA160" s="342" t="str">
        <f t="shared" si="63"/>
        <v>OK</v>
      </c>
      <c r="AB160" s="342" t="str">
        <f t="shared" si="63"/>
        <v>OK</v>
      </c>
      <c r="AC160" s="342" t="str">
        <f t="shared" si="63"/>
        <v>OK</v>
      </c>
      <c r="AD160" s="342" t="str">
        <f t="shared" si="63"/>
        <v>OK</v>
      </c>
      <c r="AE160" s="342" t="str">
        <f t="shared" si="63"/>
        <v>OK</v>
      </c>
      <c r="AF160" s="342" t="str">
        <f t="shared" si="63"/>
        <v>OK</v>
      </c>
      <c r="AG160" s="342" t="str">
        <f t="shared" si="63"/>
        <v>OK</v>
      </c>
      <c r="AH160" s="342" t="str">
        <f t="shared" si="63"/>
        <v>OK</v>
      </c>
      <c r="AI160" s="342" t="str">
        <f t="shared" si="63"/>
        <v>OK</v>
      </c>
      <c r="AJ160" s="342" t="str">
        <f t="shared" si="63"/>
        <v>OK</v>
      </c>
      <c r="AK160" s="342" t="str">
        <f t="shared" si="63"/>
        <v>OK</v>
      </c>
      <c r="AL160" s="342" t="str">
        <f t="shared" si="63"/>
        <v>OK</v>
      </c>
      <c r="AM160" s="342" t="str">
        <f t="shared" si="63"/>
        <v>OK</v>
      </c>
      <c r="AN160" s="343" t="str">
        <f t="shared" si="63"/>
        <v>OK</v>
      </c>
    </row>
    <row r="161" spans="1:40" ht="14.25" outlineLevel="2">
      <c r="A161" s="641" t="s">
        <v>343</v>
      </c>
      <c r="B161" s="642"/>
      <c r="C161" s="642"/>
      <c r="D161" s="642"/>
      <c r="E161" s="643"/>
      <c r="F161" s="209" t="s">
        <v>395</v>
      </c>
      <c r="G161" s="459"/>
      <c r="H161" s="460"/>
      <c r="I161" s="460"/>
      <c r="J161" s="461"/>
      <c r="K161" s="341" t="str">
        <f aca="true" t="shared" si="64" ref="K161:AN161">IF(K37&gt;=K38,"OK","BŁĄD")</f>
        <v>OK</v>
      </c>
      <c r="L161" s="342" t="str">
        <f t="shared" si="64"/>
        <v>OK</v>
      </c>
      <c r="M161" s="342" t="str">
        <f t="shared" si="64"/>
        <v>OK</v>
      </c>
      <c r="N161" s="342" t="str">
        <f t="shared" si="64"/>
        <v>OK</v>
      </c>
      <c r="O161" s="342" t="str">
        <f t="shared" si="64"/>
        <v>OK</v>
      </c>
      <c r="P161" s="342" t="str">
        <f t="shared" si="64"/>
        <v>OK</v>
      </c>
      <c r="Q161" s="342" t="str">
        <f t="shared" si="64"/>
        <v>OK</v>
      </c>
      <c r="R161" s="342" t="str">
        <f t="shared" si="64"/>
        <v>OK</v>
      </c>
      <c r="S161" s="342" t="str">
        <f t="shared" si="64"/>
        <v>OK</v>
      </c>
      <c r="T161" s="342" t="str">
        <f t="shared" si="64"/>
        <v>OK</v>
      </c>
      <c r="U161" s="342" t="str">
        <f t="shared" si="64"/>
        <v>OK</v>
      </c>
      <c r="V161" s="342" t="str">
        <f t="shared" si="64"/>
        <v>OK</v>
      </c>
      <c r="W161" s="342" t="str">
        <f t="shared" si="64"/>
        <v>OK</v>
      </c>
      <c r="X161" s="342" t="str">
        <f t="shared" si="64"/>
        <v>OK</v>
      </c>
      <c r="Y161" s="342" t="str">
        <f t="shared" si="64"/>
        <v>OK</v>
      </c>
      <c r="Z161" s="342" t="str">
        <f t="shared" si="64"/>
        <v>OK</v>
      </c>
      <c r="AA161" s="342" t="str">
        <f t="shared" si="64"/>
        <v>OK</v>
      </c>
      <c r="AB161" s="342" t="str">
        <f t="shared" si="64"/>
        <v>OK</v>
      </c>
      <c r="AC161" s="342" t="str">
        <f t="shared" si="64"/>
        <v>OK</v>
      </c>
      <c r="AD161" s="342" t="str">
        <f t="shared" si="64"/>
        <v>OK</v>
      </c>
      <c r="AE161" s="342" t="str">
        <f t="shared" si="64"/>
        <v>OK</v>
      </c>
      <c r="AF161" s="342" t="str">
        <f t="shared" si="64"/>
        <v>OK</v>
      </c>
      <c r="AG161" s="342" t="str">
        <f t="shared" si="64"/>
        <v>OK</v>
      </c>
      <c r="AH161" s="342" t="str">
        <f t="shared" si="64"/>
        <v>OK</v>
      </c>
      <c r="AI161" s="342" t="str">
        <f t="shared" si="64"/>
        <v>OK</v>
      </c>
      <c r="AJ161" s="342" t="str">
        <f t="shared" si="64"/>
        <v>OK</v>
      </c>
      <c r="AK161" s="342" t="str">
        <f t="shared" si="64"/>
        <v>OK</v>
      </c>
      <c r="AL161" s="342" t="str">
        <f t="shared" si="64"/>
        <v>OK</v>
      </c>
      <c r="AM161" s="342" t="str">
        <f t="shared" si="64"/>
        <v>OK</v>
      </c>
      <c r="AN161" s="343" t="str">
        <f t="shared" si="64"/>
        <v>OK</v>
      </c>
    </row>
    <row r="162" spans="1:40" ht="14.25" outlineLevel="2">
      <c r="A162" s="641" t="s">
        <v>347</v>
      </c>
      <c r="B162" s="642"/>
      <c r="C162" s="642"/>
      <c r="D162" s="642"/>
      <c r="E162" s="643"/>
      <c r="F162" s="209" t="s">
        <v>399</v>
      </c>
      <c r="G162" s="459"/>
      <c r="H162" s="460"/>
      <c r="I162" s="460"/>
      <c r="J162" s="461"/>
      <c r="K162" s="341" t="str">
        <f aca="true" t="shared" si="65" ref="K162:AN162">IF(K40&gt;=K41,"OK","BŁĄD")</f>
        <v>OK</v>
      </c>
      <c r="L162" s="342" t="str">
        <f t="shared" si="65"/>
        <v>OK</v>
      </c>
      <c r="M162" s="342" t="str">
        <f t="shared" si="65"/>
        <v>OK</v>
      </c>
      <c r="N162" s="342" t="str">
        <f t="shared" si="65"/>
        <v>OK</v>
      </c>
      <c r="O162" s="342" t="str">
        <f t="shared" si="65"/>
        <v>OK</v>
      </c>
      <c r="P162" s="342" t="str">
        <f t="shared" si="65"/>
        <v>OK</v>
      </c>
      <c r="Q162" s="342" t="str">
        <f t="shared" si="65"/>
        <v>OK</v>
      </c>
      <c r="R162" s="342" t="str">
        <f t="shared" si="65"/>
        <v>OK</v>
      </c>
      <c r="S162" s="342" t="str">
        <f t="shared" si="65"/>
        <v>OK</v>
      </c>
      <c r="T162" s="342" t="str">
        <f t="shared" si="65"/>
        <v>OK</v>
      </c>
      <c r="U162" s="342" t="str">
        <f t="shared" si="65"/>
        <v>OK</v>
      </c>
      <c r="V162" s="342" t="str">
        <f t="shared" si="65"/>
        <v>OK</v>
      </c>
      <c r="W162" s="342" t="str">
        <f t="shared" si="65"/>
        <v>OK</v>
      </c>
      <c r="X162" s="342" t="str">
        <f t="shared" si="65"/>
        <v>OK</v>
      </c>
      <c r="Y162" s="342" t="str">
        <f t="shared" si="65"/>
        <v>OK</v>
      </c>
      <c r="Z162" s="342" t="str">
        <f t="shared" si="65"/>
        <v>OK</v>
      </c>
      <c r="AA162" s="342" t="str">
        <f t="shared" si="65"/>
        <v>OK</v>
      </c>
      <c r="AB162" s="342" t="str">
        <f t="shared" si="65"/>
        <v>OK</v>
      </c>
      <c r="AC162" s="342" t="str">
        <f t="shared" si="65"/>
        <v>OK</v>
      </c>
      <c r="AD162" s="342" t="str">
        <f t="shared" si="65"/>
        <v>OK</v>
      </c>
      <c r="AE162" s="342" t="str">
        <f t="shared" si="65"/>
        <v>OK</v>
      </c>
      <c r="AF162" s="342" t="str">
        <f t="shared" si="65"/>
        <v>OK</v>
      </c>
      <c r="AG162" s="342" t="str">
        <f t="shared" si="65"/>
        <v>OK</v>
      </c>
      <c r="AH162" s="342" t="str">
        <f t="shared" si="65"/>
        <v>OK</v>
      </c>
      <c r="AI162" s="342" t="str">
        <f t="shared" si="65"/>
        <v>OK</v>
      </c>
      <c r="AJ162" s="342" t="str">
        <f t="shared" si="65"/>
        <v>OK</v>
      </c>
      <c r="AK162" s="342" t="str">
        <f t="shared" si="65"/>
        <v>OK</v>
      </c>
      <c r="AL162" s="342" t="str">
        <f t="shared" si="65"/>
        <v>OK</v>
      </c>
      <c r="AM162" s="342" t="str">
        <f t="shared" si="65"/>
        <v>OK</v>
      </c>
      <c r="AN162" s="343" t="str">
        <f t="shared" si="65"/>
        <v>OK</v>
      </c>
    </row>
    <row r="163" spans="1:40" ht="14.25" outlineLevel="2">
      <c r="A163" s="641" t="s">
        <v>344</v>
      </c>
      <c r="B163" s="642"/>
      <c r="C163" s="642"/>
      <c r="D163" s="642"/>
      <c r="E163" s="643"/>
      <c r="F163" s="209" t="s">
        <v>396</v>
      </c>
      <c r="G163" s="459"/>
      <c r="H163" s="460"/>
      <c r="I163" s="460"/>
      <c r="J163" s="461"/>
      <c r="K163" s="341" t="str">
        <f aca="true" t="shared" si="66" ref="K163:AN163">IF(K41&gt;=K42,"OK","BŁĄD")</f>
        <v>OK</v>
      </c>
      <c r="L163" s="342" t="str">
        <f t="shared" si="66"/>
        <v>OK</v>
      </c>
      <c r="M163" s="342" t="str">
        <f t="shared" si="66"/>
        <v>OK</v>
      </c>
      <c r="N163" s="342" t="str">
        <f t="shared" si="66"/>
        <v>OK</v>
      </c>
      <c r="O163" s="342" t="str">
        <f t="shared" si="66"/>
        <v>OK</v>
      </c>
      <c r="P163" s="342" t="str">
        <f t="shared" si="66"/>
        <v>OK</v>
      </c>
      <c r="Q163" s="342" t="str">
        <f t="shared" si="66"/>
        <v>OK</v>
      </c>
      <c r="R163" s="342" t="str">
        <f t="shared" si="66"/>
        <v>OK</v>
      </c>
      <c r="S163" s="342" t="str">
        <f t="shared" si="66"/>
        <v>OK</v>
      </c>
      <c r="T163" s="342" t="str">
        <f t="shared" si="66"/>
        <v>OK</v>
      </c>
      <c r="U163" s="342" t="str">
        <f t="shared" si="66"/>
        <v>OK</v>
      </c>
      <c r="V163" s="342" t="str">
        <f t="shared" si="66"/>
        <v>OK</v>
      </c>
      <c r="W163" s="342" t="str">
        <f t="shared" si="66"/>
        <v>OK</v>
      </c>
      <c r="X163" s="342" t="str">
        <f t="shared" si="66"/>
        <v>OK</v>
      </c>
      <c r="Y163" s="342" t="str">
        <f t="shared" si="66"/>
        <v>OK</v>
      </c>
      <c r="Z163" s="342" t="str">
        <f t="shared" si="66"/>
        <v>OK</v>
      </c>
      <c r="AA163" s="342" t="str">
        <f t="shared" si="66"/>
        <v>OK</v>
      </c>
      <c r="AB163" s="342" t="str">
        <f t="shared" si="66"/>
        <v>OK</v>
      </c>
      <c r="AC163" s="342" t="str">
        <f t="shared" si="66"/>
        <v>OK</v>
      </c>
      <c r="AD163" s="342" t="str">
        <f t="shared" si="66"/>
        <v>OK</v>
      </c>
      <c r="AE163" s="342" t="str">
        <f t="shared" si="66"/>
        <v>OK</v>
      </c>
      <c r="AF163" s="342" t="str">
        <f t="shared" si="66"/>
        <v>OK</v>
      </c>
      <c r="AG163" s="342" t="str">
        <f t="shared" si="66"/>
        <v>OK</v>
      </c>
      <c r="AH163" s="342" t="str">
        <f t="shared" si="66"/>
        <v>OK</v>
      </c>
      <c r="AI163" s="342" t="str">
        <f t="shared" si="66"/>
        <v>OK</v>
      </c>
      <c r="AJ163" s="342" t="str">
        <f t="shared" si="66"/>
        <v>OK</v>
      </c>
      <c r="AK163" s="342" t="str">
        <f t="shared" si="66"/>
        <v>OK</v>
      </c>
      <c r="AL163" s="342" t="str">
        <f t="shared" si="66"/>
        <v>OK</v>
      </c>
      <c r="AM163" s="342" t="str">
        <f t="shared" si="66"/>
        <v>OK</v>
      </c>
      <c r="AN163" s="343" t="str">
        <f t="shared" si="66"/>
        <v>OK</v>
      </c>
    </row>
    <row r="164" spans="1:40" ht="14.25" outlineLevel="2">
      <c r="A164" s="641" t="s">
        <v>345</v>
      </c>
      <c r="B164" s="642"/>
      <c r="C164" s="642"/>
      <c r="D164" s="642"/>
      <c r="E164" s="643"/>
      <c r="F164" s="209" t="s">
        <v>397</v>
      </c>
      <c r="G164" s="459"/>
      <c r="H164" s="460"/>
      <c r="I164" s="460"/>
      <c r="J164" s="461"/>
      <c r="K164" s="341" t="str">
        <f aca="true" t="shared" si="67" ref="K164:AN164">IF(K40&gt;=K66,"OK","BŁĄD")</f>
        <v>OK</v>
      </c>
      <c r="L164" s="342" t="str">
        <f t="shared" si="67"/>
        <v>OK</v>
      </c>
      <c r="M164" s="342" t="str">
        <f t="shared" si="67"/>
        <v>OK</v>
      </c>
      <c r="N164" s="342" t="str">
        <f t="shared" si="67"/>
        <v>OK</v>
      </c>
      <c r="O164" s="342" t="str">
        <f t="shared" si="67"/>
        <v>OK</v>
      </c>
      <c r="P164" s="342" t="str">
        <f t="shared" si="67"/>
        <v>OK</v>
      </c>
      <c r="Q164" s="342" t="str">
        <f t="shared" si="67"/>
        <v>OK</v>
      </c>
      <c r="R164" s="342" t="str">
        <f t="shared" si="67"/>
        <v>OK</v>
      </c>
      <c r="S164" s="342" t="str">
        <f t="shared" si="67"/>
        <v>OK</v>
      </c>
      <c r="T164" s="342" t="str">
        <f t="shared" si="67"/>
        <v>OK</v>
      </c>
      <c r="U164" s="342" t="str">
        <f t="shared" si="67"/>
        <v>OK</v>
      </c>
      <c r="V164" s="342" t="str">
        <f t="shared" si="67"/>
        <v>OK</v>
      </c>
      <c r="W164" s="342" t="str">
        <f t="shared" si="67"/>
        <v>OK</v>
      </c>
      <c r="X164" s="342" t="str">
        <f t="shared" si="67"/>
        <v>OK</v>
      </c>
      <c r="Y164" s="342" t="str">
        <f t="shared" si="67"/>
        <v>OK</v>
      </c>
      <c r="Z164" s="342" t="str">
        <f t="shared" si="67"/>
        <v>OK</v>
      </c>
      <c r="AA164" s="342" t="str">
        <f t="shared" si="67"/>
        <v>OK</v>
      </c>
      <c r="AB164" s="342" t="str">
        <f t="shared" si="67"/>
        <v>OK</v>
      </c>
      <c r="AC164" s="342" t="str">
        <f t="shared" si="67"/>
        <v>OK</v>
      </c>
      <c r="AD164" s="342" t="str">
        <f t="shared" si="67"/>
        <v>OK</v>
      </c>
      <c r="AE164" s="342" t="str">
        <f t="shared" si="67"/>
        <v>OK</v>
      </c>
      <c r="AF164" s="342" t="str">
        <f t="shared" si="67"/>
        <v>OK</v>
      </c>
      <c r="AG164" s="342" t="str">
        <f t="shared" si="67"/>
        <v>OK</v>
      </c>
      <c r="AH164" s="342" t="str">
        <f t="shared" si="67"/>
        <v>OK</v>
      </c>
      <c r="AI164" s="342" t="str">
        <f t="shared" si="67"/>
        <v>OK</v>
      </c>
      <c r="AJ164" s="342" t="str">
        <f t="shared" si="67"/>
        <v>OK</v>
      </c>
      <c r="AK164" s="342" t="str">
        <f t="shared" si="67"/>
        <v>OK</v>
      </c>
      <c r="AL164" s="342" t="str">
        <f t="shared" si="67"/>
        <v>OK</v>
      </c>
      <c r="AM164" s="342" t="str">
        <f t="shared" si="67"/>
        <v>OK</v>
      </c>
      <c r="AN164" s="343" t="str">
        <f t="shared" si="67"/>
        <v>OK</v>
      </c>
    </row>
    <row r="165" spans="1:40" ht="14.25" outlineLevel="2">
      <c r="A165" s="641" t="s">
        <v>346</v>
      </c>
      <c r="B165" s="642"/>
      <c r="C165" s="642"/>
      <c r="D165" s="642"/>
      <c r="E165" s="643"/>
      <c r="F165" s="209" t="s">
        <v>398</v>
      </c>
      <c r="G165" s="459"/>
      <c r="H165" s="460"/>
      <c r="I165" s="460"/>
      <c r="J165" s="461"/>
      <c r="K165" s="341" t="str">
        <f aca="true" t="shared" si="68" ref="K165:AN165">IF(K40&gt;=K98,"OK","BŁĄD")</f>
        <v>OK</v>
      </c>
      <c r="L165" s="342" t="str">
        <f t="shared" si="68"/>
        <v>OK</v>
      </c>
      <c r="M165" s="342" t="str">
        <f t="shared" si="68"/>
        <v>OK</v>
      </c>
      <c r="N165" s="342" t="str">
        <f t="shared" si="68"/>
        <v>OK</v>
      </c>
      <c r="O165" s="342" t="str">
        <f t="shared" si="68"/>
        <v>OK</v>
      </c>
      <c r="P165" s="342" t="str">
        <f t="shared" si="68"/>
        <v>OK</v>
      </c>
      <c r="Q165" s="342" t="str">
        <f t="shared" si="68"/>
        <v>OK</v>
      </c>
      <c r="R165" s="342" t="str">
        <f t="shared" si="68"/>
        <v>OK</v>
      </c>
      <c r="S165" s="342" t="str">
        <f t="shared" si="68"/>
        <v>OK</v>
      </c>
      <c r="T165" s="342" t="str">
        <f t="shared" si="68"/>
        <v>OK</v>
      </c>
      <c r="U165" s="342" t="str">
        <f t="shared" si="68"/>
        <v>OK</v>
      </c>
      <c r="V165" s="342" t="str">
        <f t="shared" si="68"/>
        <v>OK</v>
      </c>
      <c r="W165" s="342" t="str">
        <f t="shared" si="68"/>
        <v>OK</v>
      </c>
      <c r="X165" s="342" t="str">
        <f t="shared" si="68"/>
        <v>OK</v>
      </c>
      <c r="Y165" s="342" t="str">
        <f t="shared" si="68"/>
        <v>OK</v>
      </c>
      <c r="Z165" s="342" t="str">
        <f t="shared" si="68"/>
        <v>OK</v>
      </c>
      <c r="AA165" s="342" t="str">
        <f t="shared" si="68"/>
        <v>OK</v>
      </c>
      <c r="AB165" s="342" t="str">
        <f t="shared" si="68"/>
        <v>OK</v>
      </c>
      <c r="AC165" s="342" t="str">
        <f t="shared" si="68"/>
        <v>OK</v>
      </c>
      <c r="AD165" s="342" t="str">
        <f t="shared" si="68"/>
        <v>OK</v>
      </c>
      <c r="AE165" s="342" t="str">
        <f t="shared" si="68"/>
        <v>OK</v>
      </c>
      <c r="AF165" s="342" t="str">
        <f t="shared" si="68"/>
        <v>OK</v>
      </c>
      <c r="AG165" s="342" t="str">
        <f t="shared" si="68"/>
        <v>OK</v>
      </c>
      <c r="AH165" s="342" t="str">
        <f t="shared" si="68"/>
        <v>OK</v>
      </c>
      <c r="AI165" s="342" t="str">
        <f t="shared" si="68"/>
        <v>OK</v>
      </c>
      <c r="AJ165" s="342" t="str">
        <f t="shared" si="68"/>
        <v>OK</v>
      </c>
      <c r="AK165" s="342" t="str">
        <f t="shared" si="68"/>
        <v>OK</v>
      </c>
      <c r="AL165" s="342" t="str">
        <f t="shared" si="68"/>
        <v>OK</v>
      </c>
      <c r="AM165" s="342" t="str">
        <f t="shared" si="68"/>
        <v>OK</v>
      </c>
      <c r="AN165" s="343" t="str">
        <f t="shared" si="68"/>
        <v>OK</v>
      </c>
    </row>
    <row r="166" spans="1:40" ht="14.25" outlineLevel="2">
      <c r="A166" s="641" t="s">
        <v>350</v>
      </c>
      <c r="B166" s="642"/>
      <c r="C166" s="642"/>
      <c r="D166" s="642"/>
      <c r="E166" s="643"/>
      <c r="F166" s="209" t="s">
        <v>402</v>
      </c>
      <c r="G166" s="459"/>
      <c r="H166" s="460"/>
      <c r="I166" s="460"/>
      <c r="J166" s="461"/>
      <c r="K166" s="341" t="str">
        <f aca="true" t="shared" si="69" ref="K166:AN166">IF(K44&gt;=K45,"OK","BŁĄD")</f>
        <v>OK</v>
      </c>
      <c r="L166" s="342" t="str">
        <f t="shared" si="69"/>
        <v>OK</v>
      </c>
      <c r="M166" s="342" t="str">
        <f t="shared" si="69"/>
        <v>OK</v>
      </c>
      <c r="N166" s="342" t="str">
        <f t="shared" si="69"/>
        <v>OK</v>
      </c>
      <c r="O166" s="342" t="str">
        <f t="shared" si="69"/>
        <v>OK</v>
      </c>
      <c r="P166" s="342" t="str">
        <f t="shared" si="69"/>
        <v>OK</v>
      </c>
      <c r="Q166" s="342" t="str">
        <f t="shared" si="69"/>
        <v>OK</v>
      </c>
      <c r="R166" s="342" t="str">
        <f t="shared" si="69"/>
        <v>BŁĄD</v>
      </c>
      <c r="S166" s="342" t="str">
        <f t="shared" si="69"/>
        <v>OK</v>
      </c>
      <c r="T166" s="342" t="str">
        <f t="shared" si="69"/>
        <v>OK</v>
      </c>
      <c r="U166" s="342" t="str">
        <f t="shared" si="69"/>
        <v>OK</v>
      </c>
      <c r="V166" s="342" t="str">
        <f t="shared" si="69"/>
        <v>OK</v>
      </c>
      <c r="W166" s="342" t="str">
        <f t="shared" si="69"/>
        <v>OK</v>
      </c>
      <c r="X166" s="342" t="str">
        <f t="shared" si="69"/>
        <v>OK</v>
      </c>
      <c r="Y166" s="342" t="str">
        <f t="shared" si="69"/>
        <v>OK</v>
      </c>
      <c r="Z166" s="342" t="str">
        <f t="shared" si="69"/>
        <v>OK</v>
      </c>
      <c r="AA166" s="342" t="str">
        <f t="shared" si="69"/>
        <v>OK</v>
      </c>
      <c r="AB166" s="342" t="str">
        <f t="shared" si="69"/>
        <v>OK</v>
      </c>
      <c r="AC166" s="342" t="str">
        <f t="shared" si="69"/>
        <v>OK</v>
      </c>
      <c r="AD166" s="342" t="str">
        <f t="shared" si="69"/>
        <v>OK</v>
      </c>
      <c r="AE166" s="342" t="str">
        <f t="shared" si="69"/>
        <v>OK</v>
      </c>
      <c r="AF166" s="342" t="str">
        <f t="shared" si="69"/>
        <v>OK</v>
      </c>
      <c r="AG166" s="342" t="str">
        <f t="shared" si="69"/>
        <v>OK</v>
      </c>
      <c r="AH166" s="342" t="str">
        <f t="shared" si="69"/>
        <v>OK</v>
      </c>
      <c r="AI166" s="342" t="str">
        <f t="shared" si="69"/>
        <v>OK</v>
      </c>
      <c r="AJ166" s="342" t="str">
        <f t="shared" si="69"/>
        <v>OK</v>
      </c>
      <c r="AK166" s="342" t="str">
        <f t="shared" si="69"/>
        <v>OK</v>
      </c>
      <c r="AL166" s="342" t="str">
        <f t="shared" si="69"/>
        <v>OK</v>
      </c>
      <c r="AM166" s="342" t="str">
        <f t="shared" si="69"/>
        <v>OK</v>
      </c>
      <c r="AN166" s="343" t="str">
        <f t="shared" si="69"/>
        <v>OK</v>
      </c>
    </row>
    <row r="167" spans="1:40" ht="14.25" outlineLevel="2">
      <c r="A167" s="641" t="s">
        <v>351</v>
      </c>
      <c r="B167" s="642"/>
      <c r="C167" s="642"/>
      <c r="D167" s="642"/>
      <c r="E167" s="643"/>
      <c r="F167" s="209" t="s">
        <v>403</v>
      </c>
      <c r="G167" s="459"/>
      <c r="H167" s="460"/>
      <c r="I167" s="460"/>
      <c r="J167" s="461"/>
      <c r="K167" s="341" t="str">
        <f aca="true" t="shared" si="70" ref="K167:AN167">IF(K44&gt;=K49,"OK","BŁĄD")</f>
        <v>OK</v>
      </c>
      <c r="L167" s="342" t="str">
        <f t="shared" si="70"/>
        <v>OK</v>
      </c>
      <c r="M167" s="342" t="str">
        <f t="shared" si="70"/>
        <v>OK</v>
      </c>
      <c r="N167" s="342" t="str">
        <f t="shared" si="70"/>
        <v>OK</v>
      </c>
      <c r="O167" s="342" t="str">
        <f t="shared" si="70"/>
        <v>OK</v>
      </c>
      <c r="P167" s="342" t="str">
        <f t="shared" si="70"/>
        <v>OK</v>
      </c>
      <c r="Q167" s="342" t="str">
        <f t="shared" si="70"/>
        <v>OK</v>
      </c>
      <c r="R167" s="342" t="str">
        <f t="shared" si="70"/>
        <v>BŁĄD</v>
      </c>
      <c r="S167" s="342" t="str">
        <f t="shared" si="70"/>
        <v>OK</v>
      </c>
      <c r="T167" s="342" t="str">
        <f t="shared" si="70"/>
        <v>OK</v>
      </c>
      <c r="U167" s="342" t="str">
        <f t="shared" si="70"/>
        <v>OK</v>
      </c>
      <c r="V167" s="342" t="str">
        <f t="shared" si="70"/>
        <v>OK</v>
      </c>
      <c r="W167" s="342" t="str">
        <f t="shared" si="70"/>
        <v>OK</v>
      </c>
      <c r="X167" s="342" t="str">
        <f t="shared" si="70"/>
        <v>OK</v>
      </c>
      <c r="Y167" s="342" t="str">
        <f t="shared" si="70"/>
        <v>OK</v>
      </c>
      <c r="Z167" s="342" t="str">
        <f t="shared" si="70"/>
        <v>OK</v>
      </c>
      <c r="AA167" s="342" t="str">
        <f t="shared" si="70"/>
        <v>OK</v>
      </c>
      <c r="AB167" s="342" t="str">
        <f t="shared" si="70"/>
        <v>OK</v>
      </c>
      <c r="AC167" s="342" t="str">
        <f t="shared" si="70"/>
        <v>OK</v>
      </c>
      <c r="AD167" s="342" t="str">
        <f t="shared" si="70"/>
        <v>OK</v>
      </c>
      <c r="AE167" s="342" t="str">
        <f t="shared" si="70"/>
        <v>OK</v>
      </c>
      <c r="AF167" s="342" t="str">
        <f t="shared" si="70"/>
        <v>OK</v>
      </c>
      <c r="AG167" s="342" t="str">
        <f t="shared" si="70"/>
        <v>OK</v>
      </c>
      <c r="AH167" s="342" t="str">
        <f t="shared" si="70"/>
        <v>OK</v>
      </c>
      <c r="AI167" s="342" t="str">
        <f t="shared" si="70"/>
        <v>OK</v>
      </c>
      <c r="AJ167" s="342" t="str">
        <f t="shared" si="70"/>
        <v>OK</v>
      </c>
      <c r="AK167" s="342" t="str">
        <f t="shared" si="70"/>
        <v>OK</v>
      </c>
      <c r="AL167" s="342" t="str">
        <f t="shared" si="70"/>
        <v>OK</v>
      </c>
      <c r="AM167" s="342" t="str">
        <f t="shared" si="70"/>
        <v>OK</v>
      </c>
      <c r="AN167" s="343" t="str">
        <f t="shared" si="70"/>
        <v>OK</v>
      </c>
    </row>
    <row r="168" spans="1:40" ht="14.25" outlineLevel="2">
      <c r="A168" s="641" t="s">
        <v>349</v>
      </c>
      <c r="B168" s="642"/>
      <c r="C168" s="642"/>
      <c r="D168" s="642"/>
      <c r="E168" s="643"/>
      <c r="F168" s="209" t="s">
        <v>401</v>
      </c>
      <c r="G168" s="459"/>
      <c r="H168" s="460"/>
      <c r="I168" s="460"/>
      <c r="J168" s="461"/>
      <c r="K168" s="341" t="str">
        <f aca="true" t="shared" si="71" ref="K168:AN168">IF(K44&gt;=K99,"OK","BŁĄD")</f>
        <v>OK</v>
      </c>
      <c r="L168" s="342" t="str">
        <f t="shared" si="71"/>
        <v>OK</v>
      </c>
      <c r="M168" s="342" t="str">
        <f t="shared" si="71"/>
        <v>OK</v>
      </c>
      <c r="N168" s="342" t="str">
        <f t="shared" si="71"/>
        <v>OK</v>
      </c>
      <c r="O168" s="342" t="str">
        <f t="shared" si="71"/>
        <v>OK</v>
      </c>
      <c r="P168" s="342" t="str">
        <f t="shared" si="71"/>
        <v>OK</v>
      </c>
      <c r="Q168" s="342" t="str">
        <f t="shared" si="71"/>
        <v>OK</v>
      </c>
      <c r="R168" s="342" t="str">
        <f t="shared" si="71"/>
        <v>BŁĄD</v>
      </c>
      <c r="S168" s="342" t="str">
        <f t="shared" si="71"/>
        <v>OK</v>
      </c>
      <c r="T168" s="342" t="str">
        <f t="shared" si="71"/>
        <v>OK</v>
      </c>
      <c r="U168" s="342" t="str">
        <f t="shared" si="71"/>
        <v>OK</v>
      </c>
      <c r="V168" s="342" t="str">
        <f t="shared" si="71"/>
        <v>OK</v>
      </c>
      <c r="W168" s="342" t="str">
        <f t="shared" si="71"/>
        <v>OK</v>
      </c>
      <c r="X168" s="342" t="str">
        <f t="shared" si="71"/>
        <v>OK</v>
      </c>
      <c r="Y168" s="342" t="str">
        <f t="shared" si="71"/>
        <v>OK</v>
      </c>
      <c r="Z168" s="342" t="str">
        <f t="shared" si="71"/>
        <v>OK</v>
      </c>
      <c r="AA168" s="342" t="str">
        <f t="shared" si="71"/>
        <v>OK</v>
      </c>
      <c r="AB168" s="342" t="str">
        <f t="shared" si="71"/>
        <v>OK</v>
      </c>
      <c r="AC168" s="342" t="str">
        <f t="shared" si="71"/>
        <v>OK</v>
      </c>
      <c r="AD168" s="342" t="str">
        <f t="shared" si="71"/>
        <v>OK</v>
      </c>
      <c r="AE168" s="342" t="str">
        <f t="shared" si="71"/>
        <v>OK</v>
      </c>
      <c r="AF168" s="342" t="str">
        <f t="shared" si="71"/>
        <v>OK</v>
      </c>
      <c r="AG168" s="342" t="str">
        <f t="shared" si="71"/>
        <v>OK</v>
      </c>
      <c r="AH168" s="342" t="str">
        <f t="shared" si="71"/>
        <v>OK</v>
      </c>
      <c r="AI168" s="342" t="str">
        <f t="shared" si="71"/>
        <v>OK</v>
      </c>
      <c r="AJ168" s="342" t="str">
        <f t="shared" si="71"/>
        <v>OK</v>
      </c>
      <c r="AK168" s="342" t="str">
        <f t="shared" si="71"/>
        <v>OK</v>
      </c>
      <c r="AL168" s="342" t="str">
        <f t="shared" si="71"/>
        <v>OK</v>
      </c>
      <c r="AM168" s="342" t="str">
        <f t="shared" si="71"/>
        <v>OK</v>
      </c>
      <c r="AN168" s="343" t="str">
        <f t="shared" si="71"/>
        <v>OK</v>
      </c>
    </row>
    <row r="169" spans="1:40" ht="14.25" outlineLevel="2">
      <c r="A169" s="641" t="s">
        <v>348</v>
      </c>
      <c r="B169" s="642"/>
      <c r="C169" s="642"/>
      <c r="D169" s="642"/>
      <c r="E169" s="643"/>
      <c r="F169" s="209" t="s">
        <v>400</v>
      </c>
      <c r="G169" s="459"/>
      <c r="H169" s="460"/>
      <c r="I169" s="460"/>
      <c r="J169" s="461"/>
      <c r="K169" s="341" t="str">
        <f aca="true" t="shared" si="72" ref="K169:AN169">+IF(K45&gt;=K46,"OK","BŁĄD")</f>
        <v>OK</v>
      </c>
      <c r="L169" s="342" t="str">
        <f t="shared" si="72"/>
        <v>OK</v>
      </c>
      <c r="M169" s="342" t="str">
        <f t="shared" si="72"/>
        <v>OK</v>
      </c>
      <c r="N169" s="342" t="str">
        <f t="shared" si="72"/>
        <v>OK</v>
      </c>
      <c r="O169" s="342" t="str">
        <f t="shared" si="72"/>
        <v>OK</v>
      </c>
      <c r="P169" s="342" t="str">
        <f t="shared" si="72"/>
        <v>OK</v>
      </c>
      <c r="Q169" s="342" t="str">
        <f t="shared" si="72"/>
        <v>OK</v>
      </c>
      <c r="R169" s="342" t="str">
        <f t="shared" si="72"/>
        <v>OK</v>
      </c>
      <c r="S169" s="342" t="str">
        <f t="shared" si="72"/>
        <v>OK</v>
      </c>
      <c r="T169" s="342" t="str">
        <f t="shared" si="72"/>
        <v>OK</v>
      </c>
      <c r="U169" s="342" t="str">
        <f t="shared" si="72"/>
        <v>OK</v>
      </c>
      <c r="V169" s="342" t="str">
        <f t="shared" si="72"/>
        <v>OK</v>
      </c>
      <c r="W169" s="342" t="str">
        <f t="shared" si="72"/>
        <v>OK</v>
      </c>
      <c r="X169" s="342" t="str">
        <f t="shared" si="72"/>
        <v>OK</v>
      </c>
      <c r="Y169" s="342" t="str">
        <f t="shared" si="72"/>
        <v>OK</v>
      </c>
      <c r="Z169" s="342" t="str">
        <f t="shared" si="72"/>
        <v>OK</v>
      </c>
      <c r="AA169" s="342" t="str">
        <f t="shared" si="72"/>
        <v>OK</v>
      </c>
      <c r="AB169" s="342" t="str">
        <f t="shared" si="72"/>
        <v>OK</v>
      </c>
      <c r="AC169" s="342" t="str">
        <f t="shared" si="72"/>
        <v>OK</v>
      </c>
      <c r="AD169" s="342" t="str">
        <f t="shared" si="72"/>
        <v>OK</v>
      </c>
      <c r="AE169" s="342" t="str">
        <f t="shared" si="72"/>
        <v>OK</v>
      </c>
      <c r="AF169" s="342" t="str">
        <f t="shared" si="72"/>
        <v>OK</v>
      </c>
      <c r="AG169" s="342" t="str">
        <f t="shared" si="72"/>
        <v>OK</v>
      </c>
      <c r="AH169" s="342" t="str">
        <f t="shared" si="72"/>
        <v>OK</v>
      </c>
      <c r="AI169" s="342" t="str">
        <f t="shared" si="72"/>
        <v>OK</v>
      </c>
      <c r="AJ169" s="342" t="str">
        <f t="shared" si="72"/>
        <v>OK</v>
      </c>
      <c r="AK169" s="342" t="str">
        <f t="shared" si="72"/>
        <v>OK</v>
      </c>
      <c r="AL169" s="342" t="str">
        <f t="shared" si="72"/>
        <v>OK</v>
      </c>
      <c r="AM169" s="342" t="str">
        <f t="shared" si="72"/>
        <v>OK</v>
      </c>
      <c r="AN169" s="343" t="str">
        <f t="shared" si="72"/>
        <v>OK</v>
      </c>
    </row>
    <row r="170" spans="1:40" ht="14.25" outlineLevel="2">
      <c r="A170" s="641" t="s">
        <v>352</v>
      </c>
      <c r="B170" s="642"/>
      <c r="C170" s="642"/>
      <c r="D170" s="642"/>
      <c r="E170" s="643"/>
      <c r="F170" s="209" t="s">
        <v>404</v>
      </c>
      <c r="G170" s="459"/>
      <c r="H170" s="460"/>
      <c r="I170" s="460"/>
      <c r="J170" s="461"/>
      <c r="K170" s="341" t="str">
        <f aca="true" t="shared" si="73" ref="K170:AN170">IF(K49&gt;=K90,"OK","BŁĄD")</f>
        <v>OK</v>
      </c>
      <c r="L170" s="342" t="str">
        <f t="shared" si="73"/>
        <v>OK</v>
      </c>
      <c r="M170" s="342" t="str">
        <f t="shared" si="73"/>
        <v>OK</v>
      </c>
      <c r="N170" s="342" t="str">
        <f t="shared" si="73"/>
        <v>OK</v>
      </c>
      <c r="O170" s="342" t="str">
        <f t="shared" si="73"/>
        <v>OK</v>
      </c>
      <c r="P170" s="342" t="str">
        <f t="shared" si="73"/>
        <v>OK</v>
      </c>
      <c r="Q170" s="342" t="str">
        <f t="shared" si="73"/>
        <v>OK</v>
      </c>
      <c r="R170" s="342" t="str">
        <f t="shared" si="73"/>
        <v>OK</v>
      </c>
      <c r="S170" s="342" t="str">
        <f t="shared" si="73"/>
        <v>OK</v>
      </c>
      <c r="T170" s="342" t="str">
        <f t="shared" si="73"/>
        <v>OK</v>
      </c>
      <c r="U170" s="342" t="str">
        <f t="shared" si="73"/>
        <v>OK</v>
      </c>
      <c r="V170" s="342" t="str">
        <f t="shared" si="73"/>
        <v>OK</v>
      </c>
      <c r="W170" s="342" t="str">
        <f t="shared" si="73"/>
        <v>OK</v>
      </c>
      <c r="X170" s="342" t="str">
        <f t="shared" si="73"/>
        <v>OK</v>
      </c>
      <c r="Y170" s="342" t="str">
        <f t="shared" si="73"/>
        <v>OK</v>
      </c>
      <c r="Z170" s="342" t="str">
        <f t="shared" si="73"/>
        <v>OK</v>
      </c>
      <c r="AA170" s="342" t="str">
        <f t="shared" si="73"/>
        <v>OK</v>
      </c>
      <c r="AB170" s="342" t="str">
        <f t="shared" si="73"/>
        <v>OK</v>
      </c>
      <c r="AC170" s="342" t="str">
        <f t="shared" si="73"/>
        <v>OK</v>
      </c>
      <c r="AD170" s="342" t="str">
        <f t="shared" si="73"/>
        <v>OK</v>
      </c>
      <c r="AE170" s="342" t="str">
        <f t="shared" si="73"/>
        <v>OK</v>
      </c>
      <c r="AF170" s="342" t="str">
        <f t="shared" si="73"/>
        <v>OK</v>
      </c>
      <c r="AG170" s="342" t="str">
        <f t="shared" si="73"/>
        <v>OK</v>
      </c>
      <c r="AH170" s="342" t="str">
        <f t="shared" si="73"/>
        <v>OK</v>
      </c>
      <c r="AI170" s="342" t="str">
        <f t="shared" si="73"/>
        <v>OK</v>
      </c>
      <c r="AJ170" s="342" t="str">
        <f t="shared" si="73"/>
        <v>OK</v>
      </c>
      <c r="AK170" s="342" t="str">
        <f t="shared" si="73"/>
        <v>OK</v>
      </c>
      <c r="AL170" s="342" t="str">
        <f t="shared" si="73"/>
        <v>OK</v>
      </c>
      <c r="AM170" s="342" t="str">
        <f t="shared" si="73"/>
        <v>OK</v>
      </c>
      <c r="AN170" s="343" t="str">
        <f t="shared" si="73"/>
        <v>OK</v>
      </c>
    </row>
    <row r="171" spans="1:40" ht="14.25" outlineLevel="2">
      <c r="A171" s="644" t="s">
        <v>353</v>
      </c>
      <c r="B171" s="645"/>
      <c r="C171" s="645"/>
      <c r="D171" s="645"/>
      <c r="E171" s="646"/>
      <c r="F171" s="210" t="s">
        <v>405</v>
      </c>
      <c r="G171" s="462"/>
      <c r="H171" s="463"/>
      <c r="I171" s="463"/>
      <c r="J171" s="464"/>
      <c r="K171" s="347" t="str">
        <f aca="true" t="shared" si="74" ref="K171:AN171">IF(K26&lt;&gt;0,IF(K27&lt;&gt;0,"OK","BŁĄD"),"N/D")</f>
        <v>OK</v>
      </c>
      <c r="L171" s="348" t="str">
        <f t="shared" si="74"/>
        <v>OK</v>
      </c>
      <c r="M171" s="348" t="str">
        <f t="shared" si="74"/>
        <v>OK</v>
      </c>
      <c r="N171" s="348" t="str">
        <f t="shared" si="74"/>
        <v>OK</v>
      </c>
      <c r="O171" s="348" t="str">
        <f t="shared" si="74"/>
        <v>OK</v>
      </c>
      <c r="P171" s="348" t="str">
        <f t="shared" si="74"/>
        <v>OK</v>
      </c>
      <c r="Q171" s="348" t="str">
        <f t="shared" si="74"/>
        <v>OK</v>
      </c>
      <c r="R171" s="348" t="str">
        <f t="shared" si="74"/>
        <v>OK</v>
      </c>
      <c r="S171" s="348" t="str">
        <f t="shared" si="74"/>
        <v>N/D</v>
      </c>
      <c r="T171" s="348" t="str">
        <f t="shared" si="74"/>
        <v>N/D</v>
      </c>
      <c r="U171" s="348" t="str">
        <f t="shared" si="74"/>
        <v>N/D</v>
      </c>
      <c r="V171" s="348" t="str">
        <f t="shared" si="74"/>
        <v>N/D</v>
      </c>
      <c r="W171" s="348" t="str">
        <f t="shared" si="74"/>
        <v>N/D</v>
      </c>
      <c r="X171" s="348" t="str">
        <f t="shared" si="74"/>
        <v>N/D</v>
      </c>
      <c r="Y171" s="348" t="str">
        <f t="shared" si="74"/>
        <v>N/D</v>
      </c>
      <c r="Z171" s="348" t="str">
        <f t="shared" si="74"/>
        <v>N/D</v>
      </c>
      <c r="AA171" s="348" t="str">
        <f t="shared" si="74"/>
        <v>N/D</v>
      </c>
      <c r="AB171" s="348" t="str">
        <f t="shared" si="74"/>
        <v>N/D</v>
      </c>
      <c r="AC171" s="348" t="str">
        <f t="shared" si="74"/>
        <v>N/D</v>
      </c>
      <c r="AD171" s="348" t="str">
        <f t="shared" si="74"/>
        <v>N/D</v>
      </c>
      <c r="AE171" s="348" t="str">
        <f t="shared" si="74"/>
        <v>N/D</v>
      </c>
      <c r="AF171" s="348" t="str">
        <f t="shared" si="74"/>
        <v>N/D</v>
      </c>
      <c r="AG171" s="348" t="str">
        <f t="shared" si="74"/>
        <v>N/D</v>
      </c>
      <c r="AH171" s="348" t="str">
        <f t="shared" si="74"/>
        <v>N/D</v>
      </c>
      <c r="AI171" s="348" t="str">
        <f t="shared" si="74"/>
        <v>N/D</v>
      </c>
      <c r="AJ171" s="348" t="str">
        <f t="shared" si="74"/>
        <v>N/D</v>
      </c>
      <c r="AK171" s="348" t="str">
        <f t="shared" si="74"/>
        <v>N/D</v>
      </c>
      <c r="AL171" s="348" t="str">
        <f t="shared" si="74"/>
        <v>N/D</v>
      </c>
      <c r="AM171" s="348" t="str">
        <f t="shared" si="74"/>
        <v>N/D</v>
      </c>
      <c r="AN171" s="349" t="str">
        <f t="shared" si="74"/>
        <v>N/D</v>
      </c>
    </row>
    <row r="172" spans="1:40" ht="14.25" outlineLevel="2">
      <c r="A172" s="211"/>
      <c r="B172" s="211"/>
      <c r="C172" s="211"/>
      <c r="D172" s="211"/>
      <c r="E172" s="211"/>
      <c r="F172" s="211"/>
      <c r="G172" s="454"/>
      <c r="H172" s="454"/>
      <c r="I172" s="454"/>
      <c r="J172" s="454"/>
      <c r="K172" s="453"/>
      <c r="L172" s="453"/>
      <c r="M172" s="453"/>
      <c r="N172" s="453"/>
      <c r="O172" s="453"/>
      <c r="P172" s="453"/>
      <c r="Q172" s="453"/>
      <c r="R172" s="453"/>
      <c r="S172" s="453"/>
      <c r="T172" s="453"/>
      <c r="U172" s="453"/>
      <c r="V172" s="453"/>
      <c r="W172" s="453"/>
      <c r="X172" s="453"/>
      <c r="Y172" s="453"/>
      <c r="Z172" s="453"/>
      <c r="AA172" s="453"/>
      <c r="AB172" s="453"/>
      <c r="AC172" s="453"/>
      <c r="AD172" s="453"/>
      <c r="AE172" s="453"/>
      <c r="AF172" s="453"/>
      <c r="AG172" s="453"/>
      <c r="AH172" s="453"/>
      <c r="AI172" s="453"/>
      <c r="AJ172" s="453"/>
      <c r="AK172" s="453"/>
      <c r="AL172" s="453"/>
      <c r="AM172" s="453"/>
      <c r="AN172" s="453"/>
    </row>
    <row r="173" spans="1:40" ht="14.25" outlineLevel="1">
      <c r="A173" s="211"/>
      <c r="B173" s="211"/>
      <c r="C173" s="211"/>
      <c r="D173" s="211"/>
      <c r="E173" s="211"/>
      <c r="F173" s="424" t="s">
        <v>465</v>
      </c>
      <c r="G173" s="454"/>
      <c r="H173" s="454"/>
      <c r="I173" s="454"/>
      <c r="J173" s="454"/>
      <c r="K173" s="453"/>
      <c r="L173" s="453"/>
      <c r="M173" s="453"/>
      <c r="N173" s="453"/>
      <c r="O173" s="453"/>
      <c r="P173" s="453"/>
      <c r="Q173" s="453"/>
      <c r="R173" s="453"/>
      <c r="S173" s="453"/>
      <c r="T173" s="453"/>
      <c r="U173" s="453"/>
      <c r="V173" s="453"/>
      <c r="W173" s="453"/>
      <c r="X173" s="453"/>
      <c r="Y173" s="453"/>
      <c r="Z173" s="453"/>
      <c r="AA173" s="453"/>
      <c r="AB173" s="453"/>
      <c r="AC173" s="453"/>
      <c r="AD173" s="453"/>
      <c r="AE173" s="453"/>
      <c r="AF173" s="453"/>
      <c r="AG173" s="453"/>
      <c r="AH173" s="453"/>
      <c r="AI173" s="453"/>
      <c r="AJ173" s="453"/>
      <c r="AK173" s="453"/>
      <c r="AL173" s="453"/>
      <c r="AM173" s="453"/>
      <c r="AN173" s="453"/>
    </row>
    <row r="174" spans="1:40" ht="14.25" outlineLevel="2">
      <c r="A174" s="160"/>
      <c r="B174" s="160"/>
      <c r="C174" s="160"/>
      <c r="D174" s="160"/>
      <c r="E174" s="160"/>
      <c r="F174" s="212" t="s">
        <v>32</v>
      </c>
      <c r="G174" s="465">
        <f aca="true" t="shared" si="75" ref="G174:AN174">G11+G18</f>
        <v>17384905.11</v>
      </c>
      <c r="H174" s="466">
        <f t="shared" si="75"/>
        <v>17642423.29</v>
      </c>
      <c r="I174" s="466">
        <f t="shared" si="75"/>
        <v>19217578.4</v>
      </c>
      <c r="J174" s="467">
        <f t="shared" si="75"/>
        <v>19501354.62</v>
      </c>
      <c r="K174" s="468">
        <f t="shared" si="75"/>
        <v>21004624.6</v>
      </c>
      <c r="L174" s="469">
        <f t="shared" si="75"/>
        <v>20979227.29</v>
      </c>
      <c r="M174" s="469">
        <f t="shared" si="75"/>
        <v>21600990.4</v>
      </c>
      <c r="N174" s="469">
        <f t="shared" si="75"/>
        <v>22266819.55</v>
      </c>
      <c r="O174" s="469">
        <f t="shared" si="75"/>
        <v>23114445.51</v>
      </c>
      <c r="P174" s="469">
        <f t="shared" si="75"/>
        <v>24015908.89</v>
      </c>
      <c r="Q174" s="469">
        <f t="shared" si="75"/>
        <v>24952529.34</v>
      </c>
      <c r="R174" s="469">
        <f t="shared" si="75"/>
        <v>25925677.98</v>
      </c>
      <c r="S174" s="469">
        <f t="shared" si="75"/>
        <v>0</v>
      </c>
      <c r="T174" s="469">
        <f t="shared" si="75"/>
        <v>0</v>
      </c>
      <c r="U174" s="469">
        <f t="shared" si="75"/>
        <v>0</v>
      </c>
      <c r="V174" s="469">
        <f t="shared" si="75"/>
        <v>0</v>
      </c>
      <c r="W174" s="469">
        <f t="shared" si="75"/>
        <v>0</v>
      </c>
      <c r="X174" s="469">
        <f t="shared" si="75"/>
        <v>0</v>
      </c>
      <c r="Y174" s="469">
        <f t="shared" si="75"/>
        <v>0</v>
      </c>
      <c r="Z174" s="469">
        <f t="shared" si="75"/>
        <v>0</v>
      </c>
      <c r="AA174" s="469">
        <f t="shared" si="75"/>
        <v>0</v>
      </c>
      <c r="AB174" s="469">
        <f t="shared" si="75"/>
        <v>0</v>
      </c>
      <c r="AC174" s="469">
        <f t="shared" si="75"/>
        <v>0</v>
      </c>
      <c r="AD174" s="469">
        <f t="shared" si="75"/>
        <v>0</v>
      </c>
      <c r="AE174" s="469">
        <f t="shared" si="75"/>
        <v>0</v>
      </c>
      <c r="AF174" s="469">
        <f t="shared" si="75"/>
        <v>0</v>
      </c>
      <c r="AG174" s="469">
        <f t="shared" si="75"/>
        <v>0</v>
      </c>
      <c r="AH174" s="469">
        <f t="shared" si="75"/>
        <v>0</v>
      </c>
      <c r="AI174" s="469">
        <f t="shared" si="75"/>
        <v>0</v>
      </c>
      <c r="AJ174" s="469">
        <f t="shared" si="75"/>
        <v>0</v>
      </c>
      <c r="AK174" s="469">
        <f t="shared" si="75"/>
        <v>0</v>
      </c>
      <c r="AL174" s="469">
        <f t="shared" si="75"/>
        <v>0</v>
      </c>
      <c r="AM174" s="469">
        <f t="shared" si="75"/>
        <v>0</v>
      </c>
      <c r="AN174" s="470">
        <f t="shared" si="75"/>
        <v>0</v>
      </c>
    </row>
    <row r="175" spans="1:40" ht="14.25" outlineLevel="2">
      <c r="A175" s="160"/>
      <c r="B175" s="160"/>
      <c r="C175" s="160"/>
      <c r="D175" s="160"/>
      <c r="E175" s="160"/>
      <c r="F175" s="213" t="s">
        <v>33</v>
      </c>
      <c r="G175" s="471">
        <f aca="true" t="shared" si="76" ref="G175:AN175">G22+G28</f>
        <v>18629353.130000003</v>
      </c>
      <c r="H175" s="472">
        <f t="shared" si="76"/>
        <v>17272723.47</v>
      </c>
      <c r="I175" s="472">
        <f t="shared" si="76"/>
        <v>20320503.4</v>
      </c>
      <c r="J175" s="473">
        <f t="shared" si="76"/>
        <v>18374916.42</v>
      </c>
      <c r="K175" s="474">
        <f t="shared" si="76"/>
        <v>22293445.6</v>
      </c>
      <c r="L175" s="475">
        <f t="shared" si="76"/>
        <v>20771928.99</v>
      </c>
      <c r="M175" s="475">
        <f t="shared" si="76"/>
        <v>20774990.400000002</v>
      </c>
      <c r="N175" s="475">
        <f t="shared" si="76"/>
        <v>21216819.55</v>
      </c>
      <c r="O175" s="475">
        <f t="shared" si="76"/>
        <v>21964445.51</v>
      </c>
      <c r="P175" s="475">
        <f t="shared" si="76"/>
        <v>22891987.89</v>
      </c>
      <c r="Q175" s="475">
        <f t="shared" si="76"/>
        <v>23952529.34</v>
      </c>
      <c r="R175" s="475">
        <f t="shared" si="76"/>
        <v>25676181.520000003</v>
      </c>
      <c r="S175" s="475">
        <f t="shared" si="76"/>
        <v>0</v>
      </c>
      <c r="T175" s="475">
        <f t="shared" si="76"/>
        <v>0</v>
      </c>
      <c r="U175" s="475">
        <f t="shared" si="76"/>
        <v>0</v>
      </c>
      <c r="V175" s="475">
        <f t="shared" si="76"/>
        <v>0</v>
      </c>
      <c r="W175" s="475">
        <f t="shared" si="76"/>
        <v>0</v>
      </c>
      <c r="X175" s="475">
        <f t="shared" si="76"/>
        <v>0</v>
      </c>
      <c r="Y175" s="475">
        <f t="shared" si="76"/>
        <v>0</v>
      </c>
      <c r="Z175" s="475">
        <f t="shared" si="76"/>
        <v>0</v>
      </c>
      <c r="AA175" s="475">
        <f t="shared" si="76"/>
        <v>0</v>
      </c>
      <c r="AB175" s="475">
        <f t="shared" si="76"/>
        <v>0</v>
      </c>
      <c r="AC175" s="475">
        <f t="shared" si="76"/>
        <v>0</v>
      </c>
      <c r="AD175" s="475">
        <f t="shared" si="76"/>
        <v>0</v>
      </c>
      <c r="AE175" s="475">
        <f t="shared" si="76"/>
        <v>0</v>
      </c>
      <c r="AF175" s="475">
        <f t="shared" si="76"/>
        <v>0</v>
      </c>
      <c r="AG175" s="475">
        <f t="shared" si="76"/>
        <v>0</v>
      </c>
      <c r="AH175" s="475">
        <f t="shared" si="76"/>
        <v>0</v>
      </c>
      <c r="AI175" s="475">
        <f t="shared" si="76"/>
        <v>0</v>
      </c>
      <c r="AJ175" s="475">
        <f t="shared" si="76"/>
        <v>0</v>
      </c>
      <c r="AK175" s="475">
        <f t="shared" si="76"/>
        <v>0</v>
      </c>
      <c r="AL175" s="475">
        <f t="shared" si="76"/>
        <v>0</v>
      </c>
      <c r="AM175" s="475">
        <f t="shared" si="76"/>
        <v>0</v>
      </c>
      <c r="AN175" s="476">
        <f t="shared" si="76"/>
        <v>0</v>
      </c>
    </row>
    <row r="176" spans="1:40" ht="14.25" outlineLevel="2">
      <c r="A176" s="160"/>
      <c r="B176" s="160"/>
      <c r="C176" s="160"/>
      <c r="D176" s="160"/>
      <c r="E176" s="160"/>
      <c r="F176" s="213" t="s">
        <v>410</v>
      </c>
      <c r="G176" s="471">
        <f aca="true" t="shared" si="77" ref="G176:AN176">G10-G21</f>
        <v>-1244448.0199999996</v>
      </c>
      <c r="H176" s="472">
        <f t="shared" si="77"/>
        <v>369699.8200000003</v>
      </c>
      <c r="I176" s="472">
        <f t="shared" si="77"/>
        <v>-1102925</v>
      </c>
      <c r="J176" s="473">
        <f t="shared" si="77"/>
        <v>1126438.1999999993</v>
      </c>
      <c r="K176" s="474">
        <f t="shared" si="77"/>
        <v>-1288821</v>
      </c>
      <c r="L176" s="475">
        <f t="shared" si="77"/>
        <v>207298.30000000075</v>
      </c>
      <c r="M176" s="475">
        <f t="shared" si="77"/>
        <v>825999.9999999963</v>
      </c>
      <c r="N176" s="475">
        <f t="shared" si="77"/>
        <v>1050000</v>
      </c>
      <c r="O176" s="475">
        <f t="shared" si="77"/>
        <v>1150000</v>
      </c>
      <c r="P176" s="475">
        <f t="shared" si="77"/>
        <v>1123921</v>
      </c>
      <c r="Q176" s="475">
        <f t="shared" si="77"/>
        <v>1000000</v>
      </c>
      <c r="R176" s="475">
        <f t="shared" si="77"/>
        <v>249496.45999999717</v>
      </c>
      <c r="S176" s="475">
        <f t="shared" si="77"/>
        <v>0</v>
      </c>
      <c r="T176" s="475">
        <f t="shared" si="77"/>
        <v>0</v>
      </c>
      <c r="U176" s="475">
        <f t="shared" si="77"/>
        <v>0</v>
      </c>
      <c r="V176" s="475">
        <f t="shared" si="77"/>
        <v>0</v>
      </c>
      <c r="W176" s="475">
        <f t="shared" si="77"/>
        <v>0</v>
      </c>
      <c r="X176" s="475">
        <f t="shared" si="77"/>
        <v>0</v>
      </c>
      <c r="Y176" s="475">
        <f t="shared" si="77"/>
        <v>0</v>
      </c>
      <c r="Z176" s="475">
        <f t="shared" si="77"/>
        <v>0</v>
      </c>
      <c r="AA176" s="475">
        <f t="shared" si="77"/>
        <v>0</v>
      </c>
      <c r="AB176" s="475">
        <f t="shared" si="77"/>
        <v>0</v>
      </c>
      <c r="AC176" s="475">
        <f t="shared" si="77"/>
        <v>0</v>
      </c>
      <c r="AD176" s="475">
        <f t="shared" si="77"/>
        <v>0</v>
      </c>
      <c r="AE176" s="475">
        <f t="shared" si="77"/>
        <v>0</v>
      </c>
      <c r="AF176" s="475">
        <f t="shared" si="77"/>
        <v>0</v>
      </c>
      <c r="AG176" s="475">
        <f t="shared" si="77"/>
        <v>0</v>
      </c>
      <c r="AH176" s="475">
        <f t="shared" si="77"/>
        <v>0</v>
      </c>
      <c r="AI176" s="475">
        <f t="shared" si="77"/>
        <v>0</v>
      </c>
      <c r="AJ176" s="475">
        <f t="shared" si="77"/>
        <v>0</v>
      </c>
      <c r="AK176" s="475">
        <f t="shared" si="77"/>
        <v>0</v>
      </c>
      <c r="AL176" s="475">
        <f t="shared" si="77"/>
        <v>0</v>
      </c>
      <c r="AM176" s="475">
        <f t="shared" si="77"/>
        <v>0</v>
      </c>
      <c r="AN176" s="476">
        <f t="shared" si="77"/>
        <v>0</v>
      </c>
    </row>
    <row r="177" spans="1:40" ht="14.25" outlineLevel="2">
      <c r="A177" s="160"/>
      <c r="B177" s="160"/>
      <c r="C177" s="160"/>
      <c r="D177" s="160"/>
      <c r="E177" s="160"/>
      <c r="F177" s="214" t="s">
        <v>411</v>
      </c>
      <c r="G177" s="471">
        <f aca="true" t="shared" si="78" ref="G177:AN177">F44+G35-G40+(G49-F49)+(G99-F99)+G104</f>
        <v>879746</v>
      </c>
      <c r="H177" s="472">
        <f t="shared" si="78"/>
        <v>6389154.199999999</v>
      </c>
      <c r="I177" s="472">
        <f t="shared" si="78"/>
        <v>6692079.2</v>
      </c>
      <c r="J177" s="473">
        <f t="shared" si="78"/>
        <v>6152960.79</v>
      </c>
      <c r="K177" s="474">
        <f t="shared" si="78"/>
        <v>5606715.76</v>
      </c>
      <c r="L177" s="475">
        <f t="shared" si="78"/>
        <v>5399417.46</v>
      </c>
      <c r="M177" s="475">
        <f t="shared" si="78"/>
        <v>4573417.46</v>
      </c>
      <c r="N177" s="475">
        <f t="shared" si="78"/>
        <v>3523417.46</v>
      </c>
      <c r="O177" s="475">
        <f t="shared" si="78"/>
        <v>2373417.46</v>
      </c>
      <c r="P177" s="475">
        <f t="shared" si="78"/>
        <v>1249496.46</v>
      </c>
      <c r="Q177" s="475">
        <f t="shared" si="78"/>
        <v>249496.45999999996</v>
      </c>
      <c r="R177" s="475">
        <f t="shared" si="78"/>
        <v>-2.9103830456733704E-11</v>
      </c>
      <c r="S177" s="475">
        <f t="shared" si="78"/>
        <v>-2.9103830456733704E-11</v>
      </c>
      <c r="T177" s="475">
        <f t="shared" si="78"/>
        <v>0</v>
      </c>
      <c r="U177" s="475">
        <f t="shared" si="78"/>
        <v>0</v>
      </c>
      <c r="V177" s="475">
        <f t="shared" si="78"/>
        <v>0</v>
      </c>
      <c r="W177" s="475">
        <f t="shared" si="78"/>
        <v>0</v>
      </c>
      <c r="X177" s="475">
        <f t="shared" si="78"/>
        <v>0</v>
      </c>
      <c r="Y177" s="475">
        <f t="shared" si="78"/>
        <v>0</v>
      </c>
      <c r="Z177" s="475">
        <f t="shared" si="78"/>
        <v>0</v>
      </c>
      <c r="AA177" s="475">
        <f t="shared" si="78"/>
        <v>0</v>
      </c>
      <c r="AB177" s="475">
        <f t="shared" si="78"/>
        <v>0</v>
      </c>
      <c r="AC177" s="475">
        <f t="shared" si="78"/>
        <v>0</v>
      </c>
      <c r="AD177" s="475">
        <f t="shared" si="78"/>
        <v>0</v>
      </c>
      <c r="AE177" s="475">
        <f t="shared" si="78"/>
        <v>0</v>
      </c>
      <c r="AF177" s="475">
        <f t="shared" si="78"/>
        <v>0</v>
      </c>
      <c r="AG177" s="475">
        <f t="shared" si="78"/>
        <v>0</v>
      </c>
      <c r="AH177" s="475">
        <f t="shared" si="78"/>
        <v>0</v>
      </c>
      <c r="AI177" s="475">
        <f t="shared" si="78"/>
        <v>0</v>
      </c>
      <c r="AJ177" s="475">
        <f t="shared" si="78"/>
        <v>0</v>
      </c>
      <c r="AK177" s="475">
        <f t="shared" si="78"/>
        <v>0</v>
      </c>
      <c r="AL177" s="475">
        <f t="shared" si="78"/>
        <v>0</v>
      </c>
      <c r="AM177" s="475">
        <f t="shared" si="78"/>
        <v>0</v>
      </c>
      <c r="AN177" s="476">
        <f t="shared" si="78"/>
        <v>0</v>
      </c>
    </row>
    <row r="178" spans="1:40" ht="24" outlineLevel="2">
      <c r="A178" s="160"/>
      <c r="B178" s="160"/>
      <c r="C178" s="160"/>
      <c r="D178" s="160"/>
      <c r="E178" s="160"/>
      <c r="F178" s="215" t="s">
        <v>471</v>
      </c>
      <c r="G178" s="618" t="s">
        <v>31</v>
      </c>
      <c r="H178" s="477">
        <f>G90-(H92+H93+H94+H95)</f>
        <v>0</v>
      </c>
      <c r="I178" s="477">
        <f aca="true" t="shared" si="79" ref="I178:AN178">H90-(I92+I93+I94+I95)</f>
        <v>0</v>
      </c>
      <c r="J178" s="478">
        <f t="shared" si="79"/>
        <v>0</v>
      </c>
      <c r="K178" s="479">
        <f t="shared" si="79"/>
        <v>0</v>
      </c>
      <c r="L178" s="480">
        <f t="shared" si="79"/>
        <v>0</v>
      </c>
      <c r="M178" s="480">
        <f t="shared" si="79"/>
        <v>0</v>
      </c>
      <c r="N178" s="480">
        <f t="shared" si="79"/>
        <v>0</v>
      </c>
      <c r="O178" s="480">
        <f t="shared" si="79"/>
        <v>0</v>
      </c>
      <c r="P178" s="480">
        <f t="shared" si="79"/>
        <v>0</v>
      </c>
      <c r="Q178" s="480">
        <f t="shared" si="79"/>
        <v>0</v>
      </c>
      <c r="R178" s="480">
        <f t="shared" si="79"/>
        <v>0</v>
      </c>
      <c r="S178" s="480">
        <f t="shared" si="79"/>
        <v>0</v>
      </c>
      <c r="T178" s="480">
        <f t="shared" si="79"/>
        <v>0</v>
      </c>
      <c r="U178" s="480">
        <f t="shared" si="79"/>
        <v>0</v>
      </c>
      <c r="V178" s="480">
        <f t="shared" si="79"/>
        <v>0</v>
      </c>
      <c r="W178" s="480">
        <f t="shared" si="79"/>
        <v>0</v>
      </c>
      <c r="X178" s="480">
        <f t="shared" si="79"/>
        <v>0</v>
      </c>
      <c r="Y178" s="480">
        <f t="shared" si="79"/>
        <v>0</v>
      </c>
      <c r="Z178" s="480">
        <f t="shared" si="79"/>
        <v>0</v>
      </c>
      <c r="AA178" s="480">
        <f t="shared" si="79"/>
        <v>0</v>
      </c>
      <c r="AB178" s="480">
        <f t="shared" si="79"/>
        <v>0</v>
      </c>
      <c r="AC178" s="480">
        <f t="shared" si="79"/>
        <v>0</v>
      </c>
      <c r="AD178" s="480">
        <f t="shared" si="79"/>
        <v>0</v>
      </c>
      <c r="AE178" s="480">
        <f t="shared" si="79"/>
        <v>0</v>
      </c>
      <c r="AF178" s="480">
        <f t="shared" si="79"/>
        <v>0</v>
      </c>
      <c r="AG178" s="480">
        <f t="shared" si="79"/>
        <v>0</v>
      </c>
      <c r="AH178" s="480">
        <f t="shared" si="79"/>
        <v>0</v>
      </c>
      <c r="AI178" s="480">
        <f t="shared" si="79"/>
        <v>0</v>
      </c>
      <c r="AJ178" s="480">
        <f t="shared" si="79"/>
        <v>0</v>
      </c>
      <c r="AK178" s="480">
        <f t="shared" si="79"/>
        <v>0</v>
      </c>
      <c r="AL178" s="480">
        <f t="shared" si="79"/>
        <v>0</v>
      </c>
      <c r="AM178" s="480">
        <f t="shared" si="79"/>
        <v>0</v>
      </c>
      <c r="AN178" s="481">
        <f t="shared" si="79"/>
        <v>0</v>
      </c>
    </row>
    <row r="179" spans="7:40" ht="14.25">
      <c r="G179" s="482"/>
      <c r="H179" s="482"/>
      <c r="I179" s="482"/>
      <c r="J179" s="482"/>
      <c r="K179" s="483"/>
      <c r="L179" s="483"/>
      <c r="M179" s="483"/>
      <c r="N179" s="483"/>
      <c r="O179" s="483"/>
      <c r="P179" s="483"/>
      <c r="Q179" s="483"/>
      <c r="R179" s="483"/>
      <c r="S179" s="483"/>
      <c r="T179" s="483"/>
      <c r="U179" s="483"/>
      <c r="V179" s="483"/>
      <c r="W179" s="483"/>
      <c r="X179" s="483"/>
      <c r="Y179" s="483"/>
      <c r="Z179" s="483"/>
      <c r="AA179" s="483"/>
      <c r="AB179" s="483"/>
      <c r="AC179" s="483"/>
      <c r="AD179" s="483"/>
      <c r="AE179" s="483"/>
      <c r="AF179" s="483"/>
      <c r="AG179" s="483"/>
      <c r="AH179" s="483"/>
      <c r="AI179" s="483"/>
      <c r="AJ179" s="483"/>
      <c r="AK179" s="483"/>
      <c r="AL179" s="483"/>
      <c r="AM179" s="483"/>
      <c r="AN179" s="483"/>
    </row>
    <row r="180" spans="6:40" ht="15">
      <c r="F180" s="216" t="s">
        <v>39</v>
      </c>
      <c r="G180" s="484"/>
      <c r="H180" s="484"/>
      <c r="I180" s="484"/>
      <c r="J180" s="484"/>
      <c r="K180" s="483"/>
      <c r="L180" s="483"/>
      <c r="M180" s="483"/>
      <c r="N180" s="483"/>
      <c r="O180" s="483"/>
      <c r="P180" s="483"/>
      <c r="Q180" s="483"/>
      <c r="R180" s="483"/>
      <c r="S180" s="483"/>
      <c r="T180" s="483"/>
      <c r="U180" s="483"/>
      <c r="V180" s="483"/>
      <c r="W180" s="483"/>
      <c r="X180" s="483"/>
      <c r="Y180" s="483"/>
      <c r="Z180" s="483"/>
      <c r="AA180" s="483"/>
      <c r="AB180" s="483"/>
      <c r="AC180" s="483"/>
      <c r="AD180" s="483"/>
      <c r="AE180" s="483"/>
      <c r="AF180" s="483"/>
      <c r="AG180" s="483"/>
      <c r="AH180" s="483"/>
      <c r="AI180" s="483"/>
      <c r="AJ180" s="483"/>
      <c r="AK180" s="483"/>
      <c r="AL180" s="483"/>
      <c r="AM180" s="483"/>
      <c r="AN180" s="483"/>
    </row>
    <row r="181" spans="6:40" ht="14.25" outlineLevel="1">
      <c r="F181" s="422" t="s">
        <v>44</v>
      </c>
      <c r="G181" s="485"/>
      <c r="H181" s="485"/>
      <c r="I181" s="485"/>
      <c r="J181" s="485"/>
      <c r="K181" s="483"/>
      <c r="L181" s="483"/>
      <c r="M181" s="483"/>
      <c r="N181" s="483"/>
      <c r="O181" s="483"/>
      <c r="P181" s="483"/>
      <c r="Q181" s="483"/>
      <c r="R181" s="483"/>
      <c r="S181" s="483"/>
      <c r="T181" s="483"/>
      <c r="U181" s="483"/>
      <c r="V181" s="483"/>
      <c r="W181" s="483"/>
      <c r="X181" s="483"/>
      <c r="Y181" s="483"/>
      <c r="Z181" s="483"/>
      <c r="AA181" s="483"/>
      <c r="AB181" s="483"/>
      <c r="AC181" s="483"/>
      <c r="AD181" s="483"/>
      <c r="AE181" s="483"/>
      <c r="AF181" s="483"/>
      <c r="AG181" s="483"/>
      <c r="AH181" s="483"/>
      <c r="AI181" s="483"/>
      <c r="AJ181" s="483"/>
      <c r="AK181" s="483"/>
      <c r="AL181" s="483"/>
      <c r="AM181" s="483"/>
      <c r="AN181" s="483"/>
    </row>
    <row r="182" spans="6:40" ht="14.25" outlineLevel="2">
      <c r="F182" s="218">
        <v>0</v>
      </c>
      <c r="G182" s="486" t="str">
        <f>+"różnica mniejsza od "&amp;TEXT(F182*100,"0,0")&amp;"%"</f>
        <v>różnica mniejsza od 0,0%</v>
      </c>
      <c r="H182" s="487"/>
      <c r="I182" s="487"/>
      <c r="J182" s="487"/>
      <c r="K182" s="488"/>
      <c r="L182" s="489"/>
      <c r="M182" s="489"/>
      <c r="N182" s="489"/>
      <c r="O182" s="489"/>
      <c r="P182" s="489"/>
      <c r="Q182" s="489"/>
      <c r="R182" s="489"/>
      <c r="S182" s="489"/>
      <c r="T182" s="489"/>
      <c r="U182" s="489"/>
      <c r="V182" s="489"/>
      <c r="W182" s="489"/>
      <c r="X182" s="489"/>
      <c r="Y182" s="489"/>
      <c r="Z182" s="489"/>
      <c r="AA182" s="489"/>
      <c r="AB182" s="489"/>
      <c r="AC182" s="489"/>
      <c r="AD182" s="489"/>
      <c r="AE182" s="489"/>
      <c r="AF182" s="489"/>
      <c r="AG182" s="489"/>
      <c r="AH182" s="489"/>
      <c r="AI182" s="489"/>
      <c r="AJ182" s="489"/>
      <c r="AK182" s="489"/>
      <c r="AL182" s="489"/>
      <c r="AM182" s="489"/>
      <c r="AN182" s="489"/>
    </row>
    <row r="183" spans="6:40" ht="14.25" outlineLevel="2">
      <c r="F183" s="219">
        <v>0.005</v>
      </c>
      <c r="G183" s="486" t="str">
        <f>+"różnica mniejsza od "&amp;TEXT(F183*100,"0,0")&amp;"%"</f>
        <v>różnica mniejsza od 0,5%</v>
      </c>
      <c r="H183" s="487"/>
      <c r="I183" s="487"/>
      <c r="J183" s="487"/>
      <c r="K183" s="488"/>
      <c r="L183" s="489"/>
      <c r="M183" s="489"/>
      <c r="N183" s="489"/>
      <c r="O183" s="489"/>
      <c r="P183" s="489"/>
      <c r="Q183" s="489"/>
      <c r="R183" s="489"/>
      <c r="S183" s="489"/>
      <c r="T183" s="489"/>
      <c r="U183" s="489"/>
      <c r="V183" s="489"/>
      <c r="W183" s="489"/>
      <c r="X183" s="489"/>
      <c r="Y183" s="489"/>
      <c r="Z183" s="489"/>
      <c r="AA183" s="489"/>
      <c r="AB183" s="489"/>
      <c r="AC183" s="489"/>
      <c r="AD183" s="489"/>
      <c r="AE183" s="489"/>
      <c r="AF183" s="489"/>
      <c r="AG183" s="489"/>
      <c r="AH183" s="489"/>
      <c r="AI183" s="489"/>
      <c r="AJ183" s="489"/>
      <c r="AK183" s="489"/>
      <c r="AL183" s="489"/>
      <c r="AM183" s="489"/>
      <c r="AN183" s="489"/>
    </row>
    <row r="184" spans="6:40" ht="14.25" outlineLevel="2">
      <c r="F184" s="220">
        <v>0.01</v>
      </c>
      <c r="G184" s="486" t="str">
        <f>+"różnica mniejsza od "&amp;TEXT(F184*100,"0,0")&amp;"%"</f>
        <v>różnica mniejsza od 1,0%</v>
      </c>
      <c r="H184" s="487"/>
      <c r="I184" s="487"/>
      <c r="J184" s="487"/>
      <c r="K184" s="488"/>
      <c r="L184" s="489"/>
      <c r="M184" s="489"/>
      <c r="N184" s="489"/>
      <c r="O184" s="489"/>
      <c r="P184" s="489"/>
      <c r="Q184" s="489"/>
      <c r="R184" s="489"/>
      <c r="S184" s="489"/>
      <c r="T184" s="489"/>
      <c r="U184" s="489"/>
      <c r="V184" s="489"/>
      <c r="W184" s="489"/>
      <c r="X184" s="489"/>
      <c r="Y184" s="489"/>
      <c r="Z184" s="489"/>
      <c r="AA184" s="489"/>
      <c r="AB184" s="489"/>
      <c r="AC184" s="489"/>
      <c r="AD184" s="489"/>
      <c r="AE184" s="489"/>
      <c r="AF184" s="489"/>
      <c r="AG184" s="489"/>
      <c r="AH184" s="489"/>
      <c r="AI184" s="489"/>
      <c r="AJ184" s="489"/>
      <c r="AK184" s="489"/>
      <c r="AL184" s="489"/>
      <c r="AM184" s="489"/>
      <c r="AN184" s="489"/>
    </row>
    <row r="185" spans="6:40" ht="14.25" outlineLevel="2">
      <c r="F185" s="221" t="s">
        <v>38</v>
      </c>
      <c r="G185" s="490">
        <f aca="true" t="shared" si="80" ref="G185:AN185">+IF(G10=0,"",G61-G56)</f>
        <v>-0.0727</v>
      </c>
      <c r="H185" s="491">
        <f t="shared" si="80"/>
        <v>-0.0904</v>
      </c>
      <c r="I185" s="491">
        <f t="shared" si="80"/>
        <v>-0.0754</v>
      </c>
      <c r="J185" s="492">
        <f t="shared" si="80"/>
        <v>-0.021551991549198263</v>
      </c>
      <c r="K185" s="493">
        <f t="shared" si="80"/>
        <v>-0.01812491541105799</v>
      </c>
      <c r="L185" s="494">
        <f t="shared" si="80"/>
        <v>0.00017310105923575708</v>
      </c>
      <c r="M185" s="494">
        <f t="shared" si="80"/>
        <v>-0.007774349329861367</v>
      </c>
      <c r="N185" s="494">
        <f t="shared" si="80"/>
        <v>0.013076880293285915</v>
      </c>
      <c r="O185" s="494">
        <f t="shared" si="80"/>
        <v>0.02878396188669828</v>
      </c>
      <c r="P185" s="494">
        <f t="shared" si="80"/>
        <v>0.04174429526061153</v>
      </c>
      <c r="Q185" s="494">
        <f t="shared" si="80"/>
        <v>0.053027542157796544</v>
      </c>
      <c r="R185" s="494">
        <f t="shared" si="80"/>
        <v>0.08554168539387913</v>
      </c>
      <c r="S185" s="494">
        <f t="shared" si="80"/>
      </c>
      <c r="T185" s="494">
        <f t="shared" si="80"/>
      </c>
      <c r="U185" s="494">
        <f t="shared" si="80"/>
      </c>
      <c r="V185" s="494">
        <f t="shared" si="80"/>
      </c>
      <c r="W185" s="494">
        <f t="shared" si="80"/>
      </c>
      <c r="X185" s="494">
        <f t="shared" si="80"/>
      </c>
      <c r="Y185" s="494">
        <f t="shared" si="80"/>
      </c>
      <c r="Z185" s="494">
        <f t="shared" si="80"/>
      </c>
      <c r="AA185" s="494">
        <f t="shared" si="80"/>
      </c>
      <c r="AB185" s="494">
        <f t="shared" si="80"/>
      </c>
      <c r="AC185" s="494">
        <f t="shared" si="80"/>
      </c>
      <c r="AD185" s="494">
        <f t="shared" si="80"/>
      </c>
      <c r="AE185" s="494">
        <f t="shared" si="80"/>
      </c>
      <c r="AF185" s="494">
        <f t="shared" si="80"/>
      </c>
      <c r="AG185" s="494">
        <f t="shared" si="80"/>
      </c>
      <c r="AH185" s="494">
        <f t="shared" si="80"/>
      </c>
      <c r="AI185" s="494">
        <f t="shared" si="80"/>
      </c>
      <c r="AJ185" s="494">
        <f t="shared" si="80"/>
      </c>
      <c r="AK185" s="494">
        <f t="shared" si="80"/>
      </c>
      <c r="AL185" s="494">
        <f t="shared" si="80"/>
      </c>
      <c r="AM185" s="494">
        <f t="shared" si="80"/>
      </c>
      <c r="AN185" s="495">
        <f t="shared" si="80"/>
      </c>
    </row>
    <row r="186" spans="6:40" ht="14.25" outlineLevel="2">
      <c r="F186" s="222" t="s">
        <v>37</v>
      </c>
      <c r="G186" s="496">
        <f aca="true" t="shared" si="81" ref="G186:AN186">+IF(G10=0,"",G61-G57)</f>
        <v>-0.0727</v>
      </c>
      <c r="H186" s="497">
        <f t="shared" si="81"/>
        <v>-0.0904</v>
      </c>
      <c r="I186" s="497">
        <f t="shared" si="81"/>
        <v>-0.0754</v>
      </c>
      <c r="J186" s="498">
        <f t="shared" si="81"/>
        <v>-0.021551991549198263</v>
      </c>
      <c r="K186" s="499">
        <f t="shared" si="81"/>
        <v>-0.01812491541105799</v>
      </c>
      <c r="L186" s="500">
        <f t="shared" si="81"/>
        <v>0.00017310105923575708</v>
      </c>
      <c r="M186" s="500">
        <f t="shared" si="81"/>
        <v>-0.007774349329861367</v>
      </c>
      <c r="N186" s="500">
        <f t="shared" si="81"/>
        <v>0.013076880293285915</v>
      </c>
      <c r="O186" s="500">
        <f t="shared" si="81"/>
        <v>0.02878396188669828</v>
      </c>
      <c r="P186" s="500">
        <f t="shared" si="81"/>
        <v>0.04174429526061153</v>
      </c>
      <c r="Q186" s="500">
        <f t="shared" si="81"/>
        <v>0.053027542157796544</v>
      </c>
      <c r="R186" s="500">
        <f t="shared" si="81"/>
        <v>0.08554168539387913</v>
      </c>
      <c r="S186" s="500">
        <f t="shared" si="81"/>
      </c>
      <c r="T186" s="500">
        <f t="shared" si="81"/>
      </c>
      <c r="U186" s="500">
        <f t="shared" si="81"/>
      </c>
      <c r="V186" s="500">
        <f t="shared" si="81"/>
      </c>
      <c r="W186" s="500">
        <f t="shared" si="81"/>
      </c>
      <c r="X186" s="500">
        <f t="shared" si="81"/>
      </c>
      <c r="Y186" s="500">
        <f t="shared" si="81"/>
      </c>
      <c r="Z186" s="500">
        <f t="shared" si="81"/>
      </c>
      <c r="AA186" s="500">
        <f t="shared" si="81"/>
      </c>
      <c r="AB186" s="500">
        <f t="shared" si="81"/>
      </c>
      <c r="AC186" s="500">
        <f t="shared" si="81"/>
      </c>
      <c r="AD186" s="500">
        <f t="shared" si="81"/>
      </c>
      <c r="AE186" s="500">
        <f t="shared" si="81"/>
      </c>
      <c r="AF186" s="500">
        <f t="shared" si="81"/>
      </c>
      <c r="AG186" s="500">
        <f t="shared" si="81"/>
      </c>
      <c r="AH186" s="500">
        <f t="shared" si="81"/>
      </c>
      <c r="AI186" s="500">
        <f t="shared" si="81"/>
      </c>
      <c r="AJ186" s="500">
        <f t="shared" si="81"/>
      </c>
      <c r="AK186" s="500">
        <f t="shared" si="81"/>
      </c>
      <c r="AL186" s="500">
        <f t="shared" si="81"/>
      </c>
      <c r="AM186" s="500">
        <f t="shared" si="81"/>
      </c>
      <c r="AN186" s="501">
        <f t="shared" si="81"/>
      </c>
    </row>
    <row r="187" spans="6:40" ht="14.25" outlineLevel="2">
      <c r="F187" s="221" t="s">
        <v>35</v>
      </c>
      <c r="G187" s="490">
        <f aca="true" t="shared" si="82" ref="G187:AN187">+IF(G10=0,"",G62-G56)</f>
        <v>-0.0727</v>
      </c>
      <c r="H187" s="491">
        <f t="shared" si="82"/>
        <v>-0.0904</v>
      </c>
      <c r="I187" s="491">
        <f t="shared" si="82"/>
        <v>-0.0754</v>
      </c>
      <c r="J187" s="492">
        <f t="shared" si="82"/>
        <v>-0.048464250491600455</v>
      </c>
      <c r="K187" s="493">
        <f t="shared" si="82"/>
        <v>0.009721310393433921</v>
      </c>
      <c r="L187" s="494">
        <f t="shared" si="82"/>
        <v>0.028019326863727684</v>
      </c>
      <c r="M187" s="494">
        <f t="shared" si="82"/>
        <v>0.02007187647463056</v>
      </c>
      <c r="N187" s="494">
        <f t="shared" si="82"/>
        <v>0.013076880293285915</v>
      </c>
      <c r="O187" s="494">
        <f t="shared" si="82"/>
        <v>0.02878396188669828</v>
      </c>
      <c r="P187" s="494">
        <f t="shared" si="82"/>
        <v>0.04174429526061153</v>
      </c>
      <c r="Q187" s="494">
        <f t="shared" si="82"/>
        <v>0.053027542157796544</v>
      </c>
      <c r="R187" s="494">
        <f t="shared" si="82"/>
        <v>0.08554168539387913</v>
      </c>
      <c r="S187" s="494">
        <f t="shared" si="82"/>
      </c>
      <c r="T187" s="494">
        <f t="shared" si="82"/>
      </c>
      <c r="U187" s="494">
        <f t="shared" si="82"/>
      </c>
      <c r="V187" s="494">
        <f t="shared" si="82"/>
      </c>
      <c r="W187" s="494">
        <f t="shared" si="82"/>
      </c>
      <c r="X187" s="494">
        <f t="shared" si="82"/>
      </c>
      <c r="Y187" s="494">
        <f t="shared" si="82"/>
      </c>
      <c r="Z187" s="494">
        <f t="shared" si="82"/>
      </c>
      <c r="AA187" s="494">
        <f t="shared" si="82"/>
      </c>
      <c r="AB187" s="494">
        <f t="shared" si="82"/>
      </c>
      <c r="AC187" s="494">
        <f t="shared" si="82"/>
      </c>
      <c r="AD187" s="494">
        <f t="shared" si="82"/>
      </c>
      <c r="AE187" s="494">
        <f t="shared" si="82"/>
      </c>
      <c r="AF187" s="494">
        <f t="shared" si="82"/>
      </c>
      <c r="AG187" s="494">
        <f t="shared" si="82"/>
      </c>
      <c r="AH187" s="494">
        <f t="shared" si="82"/>
      </c>
      <c r="AI187" s="494">
        <f t="shared" si="82"/>
      </c>
      <c r="AJ187" s="494">
        <f t="shared" si="82"/>
      </c>
      <c r="AK187" s="494">
        <f t="shared" si="82"/>
      </c>
      <c r="AL187" s="494">
        <f t="shared" si="82"/>
      </c>
      <c r="AM187" s="494">
        <f t="shared" si="82"/>
      </c>
      <c r="AN187" s="495">
        <f t="shared" si="82"/>
      </c>
    </row>
    <row r="188" spans="6:40" ht="14.25" outlineLevel="2">
      <c r="F188" s="222" t="s">
        <v>36</v>
      </c>
      <c r="G188" s="496">
        <f aca="true" t="shared" si="83" ref="G188:AN188">+IF(G10=0,"",G62-G57)</f>
        <v>-0.0727</v>
      </c>
      <c r="H188" s="497">
        <f t="shared" si="83"/>
        <v>-0.0904</v>
      </c>
      <c r="I188" s="497">
        <f t="shared" si="83"/>
        <v>-0.0754</v>
      </c>
      <c r="J188" s="498">
        <f t="shared" si="83"/>
        <v>-0.048464250491600455</v>
      </c>
      <c r="K188" s="499">
        <f t="shared" si="83"/>
        <v>0.009721310393433921</v>
      </c>
      <c r="L188" s="500">
        <f t="shared" si="83"/>
        <v>0.028019326863727684</v>
      </c>
      <c r="M188" s="500">
        <f t="shared" si="83"/>
        <v>0.02007187647463056</v>
      </c>
      <c r="N188" s="500">
        <f t="shared" si="83"/>
        <v>0.013076880293285915</v>
      </c>
      <c r="O188" s="500">
        <f t="shared" si="83"/>
        <v>0.02878396188669828</v>
      </c>
      <c r="P188" s="500">
        <f t="shared" si="83"/>
        <v>0.04174429526061153</v>
      </c>
      <c r="Q188" s="500">
        <f t="shared" si="83"/>
        <v>0.053027542157796544</v>
      </c>
      <c r="R188" s="500">
        <f t="shared" si="83"/>
        <v>0.08554168539387913</v>
      </c>
      <c r="S188" s="500">
        <f t="shared" si="83"/>
      </c>
      <c r="T188" s="500">
        <f t="shared" si="83"/>
      </c>
      <c r="U188" s="500">
        <f t="shared" si="83"/>
      </c>
      <c r="V188" s="500">
        <f t="shared" si="83"/>
      </c>
      <c r="W188" s="500">
        <f t="shared" si="83"/>
      </c>
      <c r="X188" s="500">
        <f t="shared" si="83"/>
      </c>
      <c r="Y188" s="500">
        <f t="shared" si="83"/>
      </c>
      <c r="Z188" s="500">
        <f t="shared" si="83"/>
      </c>
      <c r="AA188" s="500">
        <f t="shared" si="83"/>
      </c>
      <c r="AB188" s="500">
        <f t="shared" si="83"/>
      </c>
      <c r="AC188" s="500">
        <f t="shared" si="83"/>
      </c>
      <c r="AD188" s="500">
        <f t="shared" si="83"/>
      </c>
      <c r="AE188" s="500">
        <f t="shared" si="83"/>
      </c>
      <c r="AF188" s="500">
        <f t="shared" si="83"/>
      </c>
      <c r="AG188" s="500">
        <f t="shared" si="83"/>
      </c>
      <c r="AH188" s="500">
        <f t="shared" si="83"/>
      </c>
      <c r="AI188" s="500">
        <f t="shared" si="83"/>
      </c>
      <c r="AJ188" s="500">
        <f t="shared" si="83"/>
      </c>
      <c r="AK188" s="500">
        <f t="shared" si="83"/>
      </c>
      <c r="AL188" s="500">
        <f t="shared" si="83"/>
      </c>
      <c r="AM188" s="500">
        <f t="shared" si="83"/>
      </c>
      <c r="AN188" s="501">
        <f t="shared" si="83"/>
      </c>
    </row>
    <row r="189" spans="6:40" ht="14.25" outlineLevel="1">
      <c r="F189" s="422" t="s">
        <v>461</v>
      </c>
      <c r="G189" s="485"/>
      <c r="H189" s="485"/>
      <c r="I189" s="485"/>
      <c r="J189" s="485"/>
      <c r="K189" s="489"/>
      <c r="L189" s="489"/>
      <c r="M189" s="489"/>
      <c r="N189" s="489"/>
      <c r="O189" s="489"/>
      <c r="P189" s="489"/>
      <c r="Q189" s="489"/>
      <c r="R189" s="489"/>
      <c r="S189" s="489"/>
      <c r="T189" s="489"/>
      <c r="U189" s="489"/>
      <c r="V189" s="489"/>
      <c r="W189" s="489"/>
      <c r="X189" s="489"/>
      <c r="Y189" s="489"/>
      <c r="Z189" s="489"/>
      <c r="AA189" s="489"/>
      <c r="AB189" s="489"/>
      <c r="AC189" s="489"/>
      <c r="AD189" s="489"/>
      <c r="AE189" s="489"/>
      <c r="AF189" s="489"/>
      <c r="AG189" s="489"/>
      <c r="AH189" s="489"/>
      <c r="AI189" s="489"/>
      <c r="AJ189" s="489"/>
      <c r="AK189" s="489"/>
      <c r="AL189" s="489"/>
      <c r="AM189" s="489"/>
      <c r="AN189" s="489"/>
    </row>
    <row r="190" spans="6:40" ht="14.25" outlineLevel="2">
      <c r="F190" s="223">
        <v>0.05</v>
      </c>
      <c r="G190" s="486" t="str">
        <f>+"zmiana większa niż +/- "&amp;TEXT(F190*100,"0,0")&amp;"%"</f>
        <v>zmiana większa niż +/- 5,0%</v>
      </c>
      <c r="H190" s="502"/>
      <c r="I190" s="502"/>
      <c r="J190" s="502"/>
      <c r="K190" s="483"/>
      <c r="L190" s="489"/>
      <c r="M190" s="489"/>
      <c r="N190" s="489"/>
      <c r="O190" s="489"/>
      <c r="P190" s="489"/>
      <c r="Q190" s="489"/>
      <c r="R190" s="489"/>
      <c r="S190" s="489"/>
      <c r="T190" s="489"/>
      <c r="U190" s="489"/>
      <c r="V190" s="489"/>
      <c r="W190" s="489"/>
      <c r="X190" s="489"/>
      <c r="Y190" s="489"/>
      <c r="Z190" s="489"/>
      <c r="AA190" s="489"/>
      <c r="AB190" s="489"/>
      <c r="AC190" s="489"/>
      <c r="AD190" s="489"/>
      <c r="AE190" s="489"/>
      <c r="AF190" s="489"/>
      <c r="AG190" s="489"/>
      <c r="AH190" s="489"/>
      <c r="AI190" s="489"/>
      <c r="AJ190" s="489"/>
      <c r="AK190" s="489"/>
      <c r="AL190" s="489"/>
      <c r="AM190" s="489"/>
      <c r="AN190" s="489"/>
    </row>
    <row r="191" spans="6:40" ht="14.25" outlineLevel="2">
      <c r="F191" s="224">
        <v>0.1</v>
      </c>
      <c r="G191" s="486" t="str">
        <f>+"zmiana większa niż +/- "&amp;TEXT(F191*100,"0,0")&amp;"%"</f>
        <v>zmiana większa niż +/- 10,0%</v>
      </c>
      <c r="H191" s="502"/>
      <c r="I191" s="502"/>
      <c r="J191" s="502"/>
      <c r="K191" s="483"/>
      <c r="L191" s="489"/>
      <c r="M191" s="489"/>
      <c r="N191" s="489"/>
      <c r="O191" s="489"/>
      <c r="P191" s="489"/>
      <c r="Q191" s="489"/>
      <c r="R191" s="489"/>
      <c r="S191" s="489"/>
      <c r="T191" s="489"/>
      <c r="U191" s="489"/>
      <c r="V191" s="489"/>
      <c r="W191" s="489"/>
      <c r="X191" s="489"/>
      <c r="Y191" s="489"/>
      <c r="Z191" s="489"/>
      <c r="AA191" s="489"/>
      <c r="AB191" s="489"/>
      <c r="AC191" s="489"/>
      <c r="AD191" s="489"/>
      <c r="AE191" s="489"/>
      <c r="AF191" s="489"/>
      <c r="AG191" s="489"/>
      <c r="AH191" s="489"/>
      <c r="AI191" s="489"/>
      <c r="AJ191" s="489"/>
      <c r="AK191" s="489"/>
      <c r="AL191" s="489"/>
      <c r="AM191" s="489"/>
      <c r="AN191" s="489"/>
    </row>
    <row r="192" spans="6:40" ht="14.25" outlineLevel="2">
      <c r="F192" s="225">
        <v>0.2</v>
      </c>
      <c r="G192" s="486" t="str">
        <f>+"zmiana większa niż +/- "&amp;TEXT(F192*100,"0,0")&amp;"%"</f>
        <v>zmiana większa niż +/- 20,0%</v>
      </c>
      <c r="H192" s="502"/>
      <c r="I192" s="502"/>
      <c r="J192" s="502"/>
      <c r="K192" s="483"/>
      <c r="L192" s="489"/>
      <c r="M192" s="489"/>
      <c r="N192" s="489"/>
      <c r="O192" s="489"/>
      <c r="P192" s="489"/>
      <c r="Q192" s="489"/>
      <c r="R192" s="489"/>
      <c r="S192" s="489"/>
      <c r="T192" s="489"/>
      <c r="U192" s="489"/>
      <c r="V192" s="489"/>
      <c r="W192" s="489"/>
      <c r="X192" s="489"/>
      <c r="Y192" s="489"/>
      <c r="Z192" s="489"/>
      <c r="AA192" s="489"/>
      <c r="AB192" s="489"/>
      <c r="AC192" s="489"/>
      <c r="AD192" s="489"/>
      <c r="AE192" s="489"/>
      <c r="AF192" s="489"/>
      <c r="AG192" s="489"/>
      <c r="AH192" s="489"/>
      <c r="AI192" s="489"/>
      <c r="AJ192" s="489"/>
      <c r="AK192" s="489"/>
      <c r="AL192" s="489"/>
      <c r="AM192" s="489"/>
      <c r="AN192" s="489"/>
    </row>
    <row r="193" spans="1:40" s="387" customFormat="1" ht="15" outlineLevel="2">
      <c r="A193" s="386"/>
      <c r="B193" s="386"/>
      <c r="C193" s="386"/>
      <c r="D193" s="386"/>
      <c r="E193" s="386"/>
      <c r="F193" s="226" t="s">
        <v>26</v>
      </c>
      <c r="G193" s="503" t="s">
        <v>450</v>
      </c>
      <c r="H193" s="504">
        <f aca="true" t="shared" si="84" ref="H193:AN193">+IF(H10=0,0,IF(G219&lt;&gt;0,H219/G219-1,0))</f>
        <v>0.014812745791282556</v>
      </c>
      <c r="I193" s="504">
        <f t="shared" si="84"/>
        <v>0.08928224224689263</v>
      </c>
      <c r="J193" s="505">
        <f t="shared" si="84"/>
        <v>0.01476649211952763</v>
      </c>
      <c r="K193" s="506">
        <f t="shared" si="84"/>
        <v>0.07708541325935858</v>
      </c>
      <c r="L193" s="507">
        <f t="shared" si="84"/>
        <v>-0.0012091294409518616</v>
      </c>
      <c r="M193" s="507">
        <f t="shared" si="84"/>
        <v>0.029637083454278068</v>
      </c>
      <c r="N193" s="507">
        <f t="shared" si="84"/>
        <v>0.03082401027315873</v>
      </c>
      <c r="O193" s="507">
        <f t="shared" si="84"/>
        <v>0.03806677276459092</v>
      </c>
      <c r="P193" s="507">
        <f t="shared" si="84"/>
        <v>0.03900000022107375</v>
      </c>
      <c r="Q193" s="507">
        <f t="shared" si="84"/>
        <v>0.03900000013699256</v>
      </c>
      <c r="R193" s="507">
        <f t="shared" si="84"/>
        <v>0.03899999982927582</v>
      </c>
      <c r="S193" s="507">
        <f t="shared" si="84"/>
        <v>0</v>
      </c>
      <c r="T193" s="507">
        <f t="shared" si="84"/>
        <v>0</v>
      </c>
      <c r="U193" s="507">
        <f t="shared" si="84"/>
        <v>0</v>
      </c>
      <c r="V193" s="507">
        <f t="shared" si="84"/>
        <v>0</v>
      </c>
      <c r="W193" s="507">
        <f t="shared" si="84"/>
        <v>0</v>
      </c>
      <c r="X193" s="507">
        <f t="shared" si="84"/>
        <v>0</v>
      </c>
      <c r="Y193" s="507">
        <f t="shared" si="84"/>
        <v>0</v>
      </c>
      <c r="Z193" s="507">
        <f t="shared" si="84"/>
        <v>0</v>
      </c>
      <c r="AA193" s="507">
        <f t="shared" si="84"/>
        <v>0</v>
      </c>
      <c r="AB193" s="507">
        <f t="shared" si="84"/>
        <v>0</v>
      </c>
      <c r="AC193" s="507">
        <f t="shared" si="84"/>
        <v>0</v>
      </c>
      <c r="AD193" s="507">
        <f t="shared" si="84"/>
        <v>0</v>
      </c>
      <c r="AE193" s="507">
        <f t="shared" si="84"/>
        <v>0</v>
      </c>
      <c r="AF193" s="507">
        <f t="shared" si="84"/>
        <v>0</v>
      </c>
      <c r="AG193" s="507">
        <f t="shared" si="84"/>
        <v>0</v>
      </c>
      <c r="AH193" s="507">
        <f t="shared" si="84"/>
        <v>0</v>
      </c>
      <c r="AI193" s="507">
        <f t="shared" si="84"/>
        <v>0</v>
      </c>
      <c r="AJ193" s="507">
        <f t="shared" si="84"/>
        <v>0</v>
      </c>
      <c r="AK193" s="507">
        <f t="shared" si="84"/>
        <v>0</v>
      </c>
      <c r="AL193" s="507">
        <f t="shared" si="84"/>
        <v>0</v>
      </c>
      <c r="AM193" s="507">
        <f t="shared" si="84"/>
        <v>0</v>
      </c>
      <c r="AN193" s="508">
        <f t="shared" si="84"/>
        <v>0</v>
      </c>
    </row>
    <row r="194" spans="6:40" ht="15" customHeight="1" outlineLevel="2">
      <c r="F194" s="227" t="s">
        <v>414</v>
      </c>
      <c r="G194" s="509" t="s">
        <v>450</v>
      </c>
      <c r="H194" s="510">
        <f aca="true" t="shared" si="85" ref="H194:AN194">+IF(H10=0,0,IF(G220&lt;&gt;0,H220/G220-1,0))</f>
        <v>0.0006713340232002984</v>
      </c>
      <c r="I194" s="510">
        <f t="shared" si="85"/>
        <v>0.06889437185993974</v>
      </c>
      <c r="J194" s="511">
        <f t="shared" si="85"/>
        <v>0.01718609603424137</v>
      </c>
      <c r="K194" s="512">
        <f t="shared" si="85"/>
        <v>0.0781893127408455</v>
      </c>
      <c r="L194" s="513">
        <f t="shared" si="85"/>
        <v>0.023353115803923297</v>
      </c>
      <c r="M194" s="513">
        <f t="shared" si="85"/>
        <v>0.03395081422801094</v>
      </c>
      <c r="N194" s="513">
        <f t="shared" si="85"/>
        <v>0.03847905377816163</v>
      </c>
      <c r="O194" s="513">
        <f t="shared" si="85"/>
        <v>0.03806677276459092</v>
      </c>
      <c r="P194" s="513">
        <f t="shared" si="85"/>
        <v>0.03900000022107375</v>
      </c>
      <c r="Q194" s="513">
        <f t="shared" si="85"/>
        <v>0.03900000013699256</v>
      </c>
      <c r="R194" s="513">
        <f t="shared" si="85"/>
        <v>0.03899999982927582</v>
      </c>
      <c r="S194" s="513">
        <f t="shared" si="85"/>
        <v>0</v>
      </c>
      <c r="T194" s="513">
        <f t="shared" si="85"/>
        <v>0</v>
      </c>
      <c r="U194" s="513">
        <f t="shared" si="85"/>
        <v>0</v>
      </c>
      <c r="V194" s="513">
        <f t="shared" si="85"/>
        <v>0</v>
      </c>
      <c r="W194" s="513">
        <f t="shared" si="85"/>
        <v>0</v>
      </c>
      <c r="X194" s="513">
        <f t="shared" si="85"/>
        <v>0</v>
      </c>
      <c r="Y194" s="513">
        <f t="shared" si="85"/>
        <v>0</v>
      </c>
      <c r="Z194" s="513">
        <f t="shared" si="85"/>
        <v>0</v>
      </c>
      <c r="AA194" s="513">
        <f t="shared" si="85"/>
        <v>0</v>
      </c>
      <c r="AB194" s="513">
        <f t="shared" si="85"/>
        <v>0</v>
      </c>
      <c r="AC194" s="513">
        <f t="shared" si="85"/>
        <v>0</v>
      </c>
      <c r="AD194" s="513">
        <f t="shared" si="85"/>
        <v>0</v>
      </c>
      <c r="AE194" s="513">
        <f t="shared" si="85"/>
        <v>0</v>
      </c>
      <c r="AF194" s="513">
        <f t="shared" si="85"/>
        <v>0</v>
      </c>
      <c r="AG194" s="513">
        <f t="shared" si="85"/>
        <v>0</v>
      </c>
      <c r="AH194" s="513">
        <f t="shared" si="85"/>
        <v>0</v>
      </c>
      <c r="AI194" s="513">
        <f t="shared" si="85"/>
        <v>0</v>
      </c>
      <c r="AJ194" s="513">
        <f t="shared" si="85"/>
        <v>0</v>
      </c>
      <c r="AK194" s="513">
        <f t="shared" si="85"/>
        <v>0</v>
      </c>
      <c r="AL194" s="513">
        <f t="shared" si="85"/>
        <v>0</v>
      </c>
      <c r="AM194" s="513">
        <f t="shared" si="85"/>
        <v>0</v>
      </c>
      <c r="AN194" s="514">
        <f t="shared" si="85"/>
        <v>0</v>
      </c>
    </row>
    <row r="195" spans="6:40" ht="15" customHeight="1" outlineLevel="2">
      <c r="F195" s="228" t="s">
        <v>415</v>
      </c>
      <c r="G195" s="515" t="s">
        <v>450</v>
      </c>
      <c r="H195" s="516">
        <f aca="true" t="shared" si="86" ref="H195:AN195">+IF(H10=0,0,IF(G221&lt;&gt;0,H221/G221-1,0))</f>
        <v>0.06139962720248726</v>
      </c>
      <c r="I195" s="516">
        <f t="shared" si="86"/>
        <v>0.0619744584423243</v>
      </c>
      <c r="J195" s="517">
        <f t="shared" si="86"/>
        <v>0.02292800697751507</v>
      </c>
      <c r="K195" s="512">
        <f t="shared" si="86"/>
        <v>0.07672376416796278</v>
      </c>
      <c r="L195" s="513">
        <f t="shared" si="86"/>
        <v>0.025008750406777747</v>
      </c>
      <c r="M195" s="513">
        <f t="shared" si="86"/>
        <v>0.034000000012555764</v>
      </c>
      <c r="N195" s="513">
        <f t="shared" si="86"/>
        <v>0.03899999979824176</v>
      </c>
      <c r="O195" s="513">
        <f t="shared" si="86"/>
        <v>0.03899999988987202</v>
      </c>
      <c r="P195" s="513">
        <f t="shared" si="86"/>
        <v>0.03900000022107375</v>
      </c>
      <c r="Q195" s="513">
        <f t="shared" si="86"/>
        <v>0.03900000013699256</v>
      </c>
      <c r="R195" s="513">
        <f t="shared" si="86"/>
        <v>0.03899999982927582</v>
      </c>
      <c r="S195" s="513">
        <f t="shared" si="86"/>
        <v>0</v>
      </c>
      <c r="T195" s="513">
        <f t="shared" si="86"/>
        <v>0</v>
      </c>
      <c r="U195" s="513">
        <f t="shared" si="86"/>
        <v>0</v>
      </c>
      <c r="V195" s="513">
        <f t="shared" si="86"/>
        <v>0</v>
      </c>
      <c r="W195" s="513">
        <f t="shared" si="86"/>
        <v>0</v>
      </c>
      <c r="X195" s="513">
        <f t="shared" si="86"/>
        <v>0</v>
      </c>
      <c r="Y195" s="513">
        <f t="shared" si="86"/>
        <v>0</v>
      </c>
      <c r="Z195" s="513">
        <f t="shared" si="86"/>
        <v>0</v>
      </c>
      <c r="AA195" s="513">
        <f t="shared" si="86"/>
        <v>0</v>
      </c>
      <c r="AB195" s="513">
        <f t="shared" si="86"/>
        <v>0</v>
      </c>
      <c r="AC195" s="513">
        <f t="shared" si="86"/>
        <v>0</v>
      </c>
      <c r="AD195" s="513">
        <f t="shared" si="86"/>
        <v>0</v>
      </c>
      <c r="AE195" s="513">
        <f t="shared" si="86"/>
        <v>0</v>
      </c>
      <c r="AF195" s="513">
        <f t="shared" si="86"/>
        <v>0</v>
      </c>
      <c r="AG195" s="513">
        <f t="shared" si="86"/>
        <v>0</v>
      </c>
      <c r="AH195" s="513">
        <f t="shared" si="86"/>
        <v>0</v>
      </c>
      <c r="AI195" s="513">
        <f t="shared" si="86"/>
        <v>0</v>
      </c>
      <c r="AJ195" s="513">
        <f t="shared" si="86"/>
        <v>0</v>
      </c>
      <c r="AK195" s="513">
        <f t="shared" si="86"/>
        <v>0</v>
      </c>
      <c r="AL195" s="513">
        <f t="shared" si="86"/>
        <v>0</v>
      </c>
      <c r="AM195" s="513">
        <f t="shared" si="86"/>
        <v>0</v>
      </c>
      <c r="AN195" s="514">
        <f t="shared" si="86"/>
        <v>0</v>
      </c>
    </row>
    <row r="196" spans="6:40" ht="14.25" customHeight="1" outlineLevel="2">
      <c r="F196" s="228" t="s">
        <v>416</v>
      </c>
      <c r="G196" s="515" t="s">
        <v>450</v>
      </c>
      <c r="H196" s="516">
        <f aca="true" t="shared" si="87" ref="H196:AN196">+IF(H10=0,0,IF(G222&lt;&gt;0,H222/G222-1,0))</f>
        <v>-0.9855472874994629</v>
      </c>
      <c r="I196" s="516">
        <f t="shared" si="87"/>
        <v>8.321903988531993</v>
      </c>
      <c r="J196" s="517">
        <f t="shared" si="87"/>
        <v>-0.762962962962963</v>
      </c>
      <c r="K196" s="512">
        <f t="shared" si="87"/>
        <v>0.9375</v>
      </c>
      <c r="L196" s="513">
        <f t="shared" si="87"/>
        <v>-0.5161290322580645</v>
      </c>
      <c r="M196" s="513">
        <f t="shared" si="87"/>
        <v>0</v>
      </c>
      <c r="N196" s="513">
        <f t="shared" si="87"/>
        <v>-0.33333333333333337</v>
      </c>
      <c r="O196" s="513">
        <f t="shared" si="87"/>
        <v>-1</v>
      </c>
      <c r="P196" s="513">
        <f t="shared" si="87"/>
        <v>0</v>
      </c>
      <c r="Q196" s="513">
        <f t="shared" si="87"/>
        <v>0</v>
      </c>
      <c r="R196" s="513">
        <f t="shared" si="87"/>
        <v>0</v>
      </c>
      <c r="S196" s="513">
        <f t="shared" si="87"/>
        <v>0</v>
      </c>
      <c r="T196" s="513">
        <f t="shared" si="87"/>
        <v>0</v>
      </c>
      <c r="U196" s="513">
        <f t="shared" si="87"/>
        <v>0</v>
      </c>
      <c r="V196" s="513">
        <f t="shared" si="87"/>
        <v>0</v>
      </c>
      <c r="W196" s="513">
        <f t="shared" si="87"/>
        <v>0</v>
      </c>
      <c r="X196" s="513">
        <f t="shared" si="87"/>
        <v>0</v>
      </c>
      <c r="Y196" s="513">
        <f t="shared" si="87"/>
        <v>0</v>
      </c>
      <c r="Z196" s="513">
        <f t="shared" si="87"/>
        <v>0</v>
      </c>
      <c r="AA196" s="513">
        <f t="shared" si="87"/>
        <v>0</v>
      </c>
      <c r="AB196" s="513">
        <f t="shared" si="87"/>
        <v>0</v>
      </c>
      <c r="AC196" s="513">
        <f t="shared" si="87"/>
        <v>0</v>
      </c>
      <c r="AD196" s="513">
        <f t="shared" si="87"/>
        <v>0</v>
      </c>
      <c r="AE196" s="513">
        <f t="shared" si="87"/>
        <v>0</v>
      </c>
      <c r="AF196" s="513">
        <f t="shared" si="87"/>
        <v>0</v>
      </c>
      <c r="AG196" s="513">
        <f t="shared" si="87"/>
        <v>0</v>
      </c>
      <c r="AH196" s="513">
        <f t="shared" si="87"/>
        <v>0</v>
      </c>
      <c r="AI196" s="513">
        <f t="shared" si="87"/>
        <v>0</v>
      </c>
      <c r="AJ196" s="513">
        <f t="shared" si="87"/>
        <v>0</v>
      </c>
      <c r="AK196" s="513">
        <f t="shared" si="87"/>
        <v>0</v>
      </c>
      <c r="AL196" s="513">
        <f t="shared" si="87"/>
        <v>0</v>
      </c>
      <c r="AM196" s="513">
        <f t="shared" si="87"/>
        <v>0</v>
      </c>
      <c r="AN196" s="514">
        <f t="shared" si="87"/>
        <v>0</v>
      </c>
    </row>
    <row r="197" spans="6:40" ht="24" customHeight="1" outlineLevel="2">
      <c r="F197" s="228" t="s">
        <v>417</v>
      </c>
      <c r="G197" s="515" t="s">
        <v>450</v>
      </c>
      <c r="H197" s="516">
        <f aca="true" t="shared" si="88" ref="H197:AN197">+IF(H10=0,0,IF(G223&lt;&gt;0,H223/G223-1,0))</f>
        <v>-1</v>
      </c>
      <c r="I197" s="516">
        <f t="shared" si="88"/>
        <v>0</v>
      </c>
      <c r="J197" s="517">
        <f t="shared" si="88"/>
        <v>0</v>
      </c>
      <c r="K197" s="512">
        <f t="shared" si="88"/>
        <v>-0.46875</v>
      </c>
      <c r="L197" s="513">
        <f t="shared" si="88"/>
        <v>0.7647058823529411</v>
      </c>
      <c r="M197" s="513">
        <f t="shared" si="88"/>
        <v>0</v>
      </c>
      <c r="N197" s="513">
        <f t="shared" si="88"/>
        <v>-0.33333333333333337</v>
      </c>
      <c r="O197" s="513">
        <f t="shared" si="88"/>
        <v>-1</v>
      </c>
      <c r="P197" s="513">
        <f t="shared" si="88"/>
        <v>0</v>
      </c>
      <c r="Q197" s="513">
        <f t="shared" si="88"/>
        <v>0</v>
      </c>
      <c r="R197" s="513">
        <f t="shared" si="88"/>
        <v>0</v>
      </c>
      <c r="S197" s="513">
        <f t="shared" si="88"/>
        <v>0</v>
      </c>
      <c r="T197" s="513">
        <f t="shared" si="88"/>
        <v>0</v>
      </c>
      <c r="U197" s="513">
        <f t="shared" si="88"/>
        <v>0</v>
      </c>
      <c r="V197" s="513">
        <f t="shared" si="88"/>
        <v>0</v>
      </c>
      <c r="W197" s="513">
        <f t="shared" si="88"/>
        <v>0</v>
      </c>
      <c r="X197" s="513">
        <f t="shared" si="88"/>
        <v>0</v>
      </c>
      <c r="Y197" s="513">
        <f t="shared" si="88"/>
        <v>0</v>
      </c>
      <c r="Z197" s="513">
        <f t="shared" si="88"/>
        <v>0</v>
      </c>
      <c r="AA197" s="513">
        <f t="shared" si="88"/>
        <v>0</v>
      </c>
      <c r="AB197" s="513">
        <f t="shared" si="88"/>
        <v>0</v>
      </c>
      <c r="AC197" s="513">
        <f t="shared" si="88"/>
        <v>0</v>
      </c>
      <c r="AD197" s="513">
        <f t="shared" si="88"/>
        <v>0</v>
      </c>
      <c r="AE197" s="513">
        <f t="shared" si="88"/>
        <v>0</v>
      </c>
      <c r="AF197" s="513">
        <f t="shared" si="88"/>
        <v>0</v>
      </c>
      <c r="AG197" s="513">
        <f t="shared" si="88"/>
        <v>0</v>
      </c>
      <c r="AH197" s="513">
        <f t="shared" si="88"/>
        <v>0</v>
      </c>
      <c r="AI197" s="513">
        <f t="shared" si="88"/>
        <v>0</v>
      </c>
      <c r="AJ197" s="513">
        <f t="shared" si="88"/>
        <v>0</v>
      </c>
      <c r="AK197" s="513">
        <f t="shared" si="88"/>
        <v>0</v>
      </c>
      <c r="AL197" s="513">
        <f t="shared" si="88"/>
        <v>0</v>
      </c>
      <c r="AM197" s="513">
        <f t="shared" si="88"/>
        <v>0</v>
      </c>
      <c r="AN197" s="514">
        <f t="shared" si="88"/>
        <v>0</v>
      </c>
    </row>
    <row r="198" spans="6:40" ht="15" customHeight="1" outlineLevel="2">
      <c r="F198" s="229" t="s">
        <v>40</v>
      </c>
      <c r="G198" s="518" t="s">
        <v>450</v>
      </c>
      <c r="H198" s="519">
        <f aca="true" t="shared" si="89" ref="H198:AN198">+IF(H10=0,0,IF(G224&lt;&gt;0,H224/G224-1,0))</f>
        <v>-0.7235623717025381</v>
      </c>
      <c r="I198" s="519">
        <f t="shared" si="89"/>
        <v>8.321903988531986</v>
      </c>
      <c r="J198" s="520">
        <f t="shared" si="89"/>
        <v>-1</v>
      </c>
      <c r="K198" s="521">
        <f t="shared" si="89"/>
        <v>0</v>
      </c>
      <c r="L198" s="522">
        <f t="shared" si="89"/>
        <v>-1</v>
      </c>
      <c r="M198" s="522">
        <f t="shared" si="89"/>
        <v>0</v>
      </c>
      <c r="N198" s="522">
        <f t="shared" si="89"/>
        <v>0</v>
      </c>
      <c r="O198" s="522">
        <f t="shared" si="89"/>
        <v>0</v>
      </c>
      <c r="P198" s="522">
        <f t="shared" si="89"/>
        <v>0</v>
      </c>
      <c r="Q198" s="522">
        <f t="shared" si="89"/>
        <v>0</v>
      </c>
      <c r="R198" s="522">
        <f t="shared" si="89"/>
        <v>0</v>
      </c>
      <c r="S198" s="522">
        <f t="shared" si="89"/>
        <v>0</v>
      </c>
      <c r="T198" s="522">
        <f t="shared" si="89"/>
        <v>0</v>
      </c>
      <c r="U198" s="522">
        <f t="shared" si="89"/>
        <v>0</v>
      </c>
      <c r="V198" s="522">
        <f t="shared" si="89"/>
        <v>0</v>
      </c>
      <c r="W198" s="522">
        <f t="shared" si="89"/>
        <v>0</v>
      </c>
      <c r="X198" s="522">
        <f t="shared" si="89"/>
        <v>0</v>
      </c>
      <c r="Y198" s="522">
        <f t="shared" si="89"/>
        <v>0</v>
      </c>
      <c r="Z198" s="522">
        <f t="shared" si="89"/>
        <v>0</v>
      </c>
      <c r="AA198" s="522">
        <f t="shared" si="89"/>
        <v>0</v>
      </c>
      <c r="AB198" s="522">
        <f t="shared" si="89"/>
        <v>0</v>
      </c>
      <c r="AC198" s="522">
        <f t="shared" si="89"/>
        <v>0</v>
      </c>
      <c r="AD198" s="522">
        <f t="shared" si="89"/>
        <v>0</v>
      </c>
      <c r="AE198" s="522">
        <f t="shared" si="89"/>
        <v>0</v>
      </c>
      <c r="AF198" s="522">
        <f t="shared" si="89"/>
        <v>0</v>
      </c>
      <c r="AG198" s="522">
        <f t="shared" si="89"/>
        <v>0</v>
      </c>
      <c r="AH198" s="522">
        <f t="shared" si="89"/>
        <v>0</v>
      </c>
      <c r="AI198" s="522">
        <f t="shared" si="89"/>
        <v>0</v>
      </c>
      <c r="AJ198" s="522">
        <f t="shared" si="89"/>
        <v>0</v>
      </c>
      <c r="AK198" s="522">
        <f t="shared" si="89"/>
        <v>0</v>
      </c>
      <c r="AL198" s="522">
        <f t="shared" si="89"/>
        <v>0</v>
      </c>
      <c r="AM198" s="522">
        <f t="shared" si="89"/>
        <v>0</v>
      </c>
      <c r="AN198" s="523">
        <f t="shared" si="89"/>
        <v>0</v>
      </c>
    </row>
    <row r="199" spans="1:40" s="387" customFormat="1" ht="15" outlineLevel="2">
      <c r="A199" s="386"/>
      <c r="B199" s="386"/>
      <c r="C199" s="386"/>
      <c r="D199" s="386"/>
      <c r="E199" s="386"/>
      <c r="F199" s="226" t="s">
        <v>21</v>
      </c>
      <c r="G199" s="503" t="s">
        <v>450</v>
      </c>
      <c r="H199" s="504">
        <f aca="true" t="shared" si="90" ref="H199:AN199">+IF(H10=0,0,IF(G225&lt;&gt;0,H225/G225-1,0))</f>
        <v>-0.07282215601009434</v>
      </c>
      <c r="I199" s="504">
        <f t="shared" si="90"/>
        <v>0.17645045584696084</v>
      </c>
      <c r="J199" s="505">
        <f t="shared" si="90"/>
        <v>-0.09574501879712272</v>
      </c>
      <c r="K199" s="506">
        <f t="shared" si="90"/>
        <v>0.21325425870971104</v>
      </c>
      <c r="L199" s="507">
        <f t="shared" si="90"/>
        <v>-0.06824950423993692</v>
      </c>
      <c r="M199" s="507">
        <f t="shared" si="90"/>
        <v>0.00014738207517828172</v>
      </c>
      <c r="N199" s="507">
        <f t="shared" si="90"/>
        <v>0.021267357601281844</v>
      </c>
      <c r="O199" s="507">
        <f t="shared" si="90"/>
        <v>0.03523741898441135</v>
      </c>
      <c r="P199" s="507">
        <f t="shared" si="90"/>
        <v>0.042229264543814926</v>
      </c>
      <c r="Q199" s="507">
        <f t="shared" si="90"/>
        <v>0.04632806268708878</v>
      </c>
      <c r="R199" s="507">
        <f t="shared" si="90"/>
        <v>0.07196117602167207</v>
      </c>
      <c r="S199" s="507">
        <f t="shared" si="90"/>
        <v>0</v>
      </c>
      <c r="T199" s="507">
        <f t="shared" si="90"/>
        <v>0</v>
      </c>
      <c r="U199" s="507">
        <f t="shared" si="90"/>
        <v>0</v>
      </c>
      <c r="V199" s="507">
        <f t="shared" si="90"/>
        <v>0</v>
      </c>
      <c r="W199" s="507">
        <f t="shared" si="90"/>
        <v>0</v>
      </c>
      <c r="X199" s="507">
        <f t="shared" si="90"/>
        <v>0</v>
      </c>
      <c r="Y199" s="507">
        <f t="shared" si="90"/>
        <v>0</v>
      </c>
      <c r="Z199" s="507">
        <f t="shared" si="90"/>
        <v>0</v>
      </c>
      <c r="AA199" s="507">
        <f t="shared" si="90"/>
        <v>0</v>
      </c>
      <c r="AB199" s="507">
        <f t="shared" si="90"/>
        <v>0</v>
      </c>
      <c r="AC199" s="507">
        <f t="shared" si="90"/>
        <v>0</v>
      </c>
      <c r="AD199" s="507">
        <f t="shared" si="90"/>
        <v>0</v>
      </c>
      <c r="AE199" s="507">
        <f t="shared" si="90"/>
        <v>0</v>
      </c>
      <c r="AF199" s="507">
        <f t="shared" si="90"/>
        <v>0</v>
      </c>
      <c r="AG199" s="507">
        <f t="shared" si="90"/>
        <v>0</v>
      </c>
      <c r="AH199" s="507">
        <f t="shared" si="90"/>
        <v>0</v>
      </c>
      <c r="AI199" s="507">
        <f t="shared" si="90"/>
        <v>0</v>
      </c>
      <c r="AJ199" s="507">
        <f t="shared" si="90"/>
        <v>0</v>
      </c>
      <c r="AK199" s="507">
        <f t="shared" si="90"/>
        <v>0</v>
      </c>
      <c r="AL199" s="507">
        <f t="shared" si="90"/>
        <v>0</v>
      </c>
      <c r="AM199" s="507">
        <f t="shared" si="90"/>
        <v>0</v>
      </c>
      <c r="AN199" s="508">
        <f t="shared" si="90"/>
        <v>0</v>
      </c>
    </row>
    <row r="200" spans="6:40" ht="24" outlineLevel="2">
      <c r="F200" s="230" t="s">
        <v>413</v>
      </c>
      <c r="G200" s="524" t="s">
        <v>450</v>
      </c>
      <c r="H200" s="525">
        <f aca="true" t="shared" si="91" ref="H200:AN200">+IF(H10=0,0,IF(G226&lt;&gt;0,H226/G226-1,0))</f>
        <v>-0.07914785548482994</v>
      </c>
      <c r="I200" s="525">
        <f t="shared" si="91"/>
        <v>0.1577420625604049</v>
      </c>
      <c r="J200" s="526">
        <f t="shared" si="91"/>
        <v>-0.09753155582162809</v>
      </c>
      <c r="K200" s="512">
        <f t="shared" si="91"/>
        <v>0.2696138542048343</v>
      </c>
      <c r="L200" s="513">
        <f t="shared" si="91"/>
        <v>-0.08176751260970827</v>
      </c>
      <c r="M200" s="513">
        <f t="shared" si="91"/>
        <v>0.00711942827748091</v>
      </c>
      <c r="N200" s="513">
        <f t="shared" si="91"/>
        <v>0.029904270173686687</v>
      </c>
      <c r="O200" s="513">
        <f t="shared" si="91"/>
        <v>0.03523741898441135</v>
      </c>
      <c r="P200" s="513">
        <f t="shared" si="91"/>
        <v>0.042229264543814926</v>
      </c>
      <c r="Q200" s="513">
        <f t="shared" si="91"/>
        <v>0.04632806268708878</v>
      </c>
      <c r="R200" s="513">
        <f t="shared" si="91"/>
        <v>0.07196117602167207</v>
      </c>
      <c r="S200" s="513">
        <f t="shared" si="91"/>
        <v>0</v>
      </c>
      <c r="T200" s="513">
        <f t="shared" si="91"/>
        <v>0</v>
      </c>
      <c r="U200" s="513">
        <f t="shared" si="91"/>
        <v>0</v>
      </c>
      <c r="V200" s="513">
        <f t="shared" si="91"/>
        <v>0</v>
      </c>
      <c r="W200" s="513">
        <f t="shared" si="91"/>
        <v>0</v>
      </c>
      <c r="X200" s="513">
        <f t="shared" si="91"/>
        <v>0</v>
      </c>
      <c r="Y200" s="513">
        <f t="shared" si="91"/>
        <v>0</v>
      </c>
      <c r="Z200" s="513">
        <f t="shared" si="91"/>
        <v>0</v>
      </c>
      <c r="AA200" s="513">
        <f t="shared" si="91"/>
        <v>0</v>
      </c>
      <c r="AB200" s="513">
        <f t="shared" si="91"/>
        <v>0</v>
      </c>
      <c r="AC200" s="513">
        <f t="shared" si="91"/>
        <v>0</v>
      </c>
      <c r="AD200" s="513">
        <f t="shared" si="91"/>
        <v>0</v>
      </c>
      <c r="AE200" s="513">
        <f t="shared" si="91"/>
        <v>0</v>
      </c>
      <c r="AF200" s="513">
        <f t="shared" si="91"/>
        <v>0</v>
      </c>
      <c r="AG200" s="513">
        <f t="shared" si="91"/>
        <v>0</v>
      </c>
      <c r="AH200" s="513">
        <f t="shared" si="91"/>
        <v>0</v>
      </c>
      <c r="AI200" s="513">
        <f t="shared" si="91"/>
        <v>0</v>
      </c>
      <c r="AJ200" s="513">
        <f t="shared" si="91"/>
        <v>0</v>
      </c>
      <c r="AK200" s="513">
        <f t="shared" si="91"/>
        <v>0</v>
      </c>
      <c r="AL200" s="513">
        <f t="shared" si="91"/>
        <v>0</v>
      </c>
      <c r="AM200" s="513">
        <f t="shared" si="91"/>
        <v>0</v>
      </c>
      <c r="AN200" s="514">
        <f t="shared" si="91"/>
        <v>0</v>
      </c>
    </row>
    <row r="201" spans="1:40" s="387" customFormat="1" ht="15" outlineLevel="2">
      <c r="A201" s="386"/>
      <c r="B201" s="386"/>
      <c r="C201" s="386"/>
      <c r="D201" s="386"/>
      <c r="E201" s="386"/>
      <c r="F201" s="231" t="s">
        <v>41</v>
      </c>
      <c r="G201" s="527" t="s">
        <v>450</v>
      </c>
      <c r="H201" s="528">
        <f aca="true" t="shared" si="92" ref="H201:AN201">+IF(H10=0,0,IF(G227&lt;&gt;0,H227/G227-1,0))</f>
        <v>0.03425422369944209</v>
      </c>
      <c r="I201" s="528">
        <f t="shared" si="92"/>
        <v>0.17062912350372028</v>
      </c>
      <c r="J201" s="529">
        <f t="shared" si="92"/>
        <v>-0.07334835301514742</v>
      </c>
      <c r="K201" s="530">
        <f t="shared" si="92"/>
        <v>0.14936635722307834</v>
      </c>
      <c r="L201" s="531">
        <f t="shared" si="92"/>
        <v>-0.019076664280074818</v>
      </c>
      <c r="M201" s="531">
        <f t="shared" si="92"/>
        <v>0.0043038561517014795</v>
      </c>
      <c r="N201" s="531">
        <f t="shared" si="92"/>
        <v>0.029884898717067232</v>
      </c>
      <c r="O201" s="531">
        <f t="shared" si="92"/>
        <v>0.037967934871017794</v>
      </c>
      <c r="P201" s="531">
        <f t="shared" si="92"/>
        <v>0.03809984626959939</v>
      </c>
      <c r="Q201" s="531">
        <f t="shared" si="92"/>
        <v>0.035913921625808864</v>
      </c>
      <c r="R201" s="531">
        <f t="shared" si="92"/>
        <v>0.03932177420133076</v>
      </c>
      <c r="S201" s="531">
        <f t="shared" si="92"/>
        <v>0</v>
      </c>
      <c r="T201" s="531">
        <f t="shared" si="92"/>
        <v>0</v>
      </c>
      <c r="U201" s="531">
        <f t="shared" si="92"/>
        <v>0</v>
      </c>
      <c r="V201" s="531">
        <f t="shared" si="92"/>
        <v>0</v>
      </c>
      <c r="W201" s="531">
        <f t="shared" si="92"/>
        <v>0</v>
      </c>
      <c r="X201" s="531">
        <f t="shared" si="92"/>
        <v>0</v>
      </c>
      <c r="Y201" s="531">
        <f t="shared" si="92"/>
        <v>0</v>
      </c>
      <c r="Z201" s="531">
        <f t="shared" si="92"/>
        <v>0</v>
      </c>
      <c r="AA201" s="531">
        <f t="shared" si="92"/>
        <v>0</v>
      </c>
      <c r="AB201" s="531">
        <f t="shared" si="92"/>
        <v>0</v>
      </c>
      <c r="AC201" s="531">
        <f t="shared" si="92"/>
        <v>0</v>
      </c>
      <c r="AD201" s="531">
        <f t="shared" si="92"/>
        <v>0</v>
      </c>
      <c r="AE201" s="531">
        <f t="shared" si="92"/>
        <v>0</v>
      </c>
      <c r="AF201" s="531">
        <f t="shared" si="92"/>
        <v>0</v>
      </c>
      <c r="AG201" s="531">
        <f t="shared" si="92"/>
        <v>0</v>
      </c>
      <c r="AH201" s="531">
        <f t="shared" si="92"/>
        <v>0</v>
      </c>
      <c r="AI201" s="531">
        <f t="shared" si="92"/>
        <v>0</v>
      </c>
      <c r="AJ201" s="531">
        <f t="shared" si="92"/>
        <v>0</v>
      </c>
      <c r="AK201" s="531">
        <f t="shared" si="92"/>
        <v>0</v>
      </c>
      <c r="AL201" s="531">
        <f t="shared" si="92"/>
        <v>0</v>
      </c>
      <c r="AM201" s="531">
        <f t="shared" si="92"/>
        <v>0</v>
      </c>
      <c r="AN201" s="532">
        <f t="shared" si="92"/>
        <v>0</v>
      </c>
    </row>
    <row r="202" spans="6:40" ht="24" outlineLevel="2">
      <c r="F202" s="228" t="s">
        <v>43</v>
      </c>
      <c r="G202" s="515" t="s">
        <v>450</v>
      </c>
      <c r="H202" s="516">
        <f aca="true" t="shared" si="93" ref="H202:AN202">+IF(H10=0,0,IF(G228&lt;&gt;0,H228/G228-1,0))</f>
        <v>0.033937008043661177</v>
      </c>
      <c r="I202" s="516">
        <f t="shared" si="93"/>
        <v>0.16478340927398438</v>
      </c>
      <c r="J202" s="517">
        <f t="shared" si="93"/>
        <v>-0.07382007135790403</v>
      </c>
      <c r="K202" s="512">
        <f t="shared" si="93"/>
        <v>0.16903368876404</v>
      </c>
      <c r="L202" s="513">
        <f t="shared" si="93"/>
        <v>-0.034264807740245096</v>
      </c>
      <c r="M202" s="513">
        <f t="shared" si="93"/>
        <v>0.011841423710558185</v>
      </c>
      <c r="N202" s="513">
        <f t="shared" si="93"/>
        <v>0.039171480580565854</v>
      </c>
      <c r="O202" s="513">
        <f t="shared" si="93"/>
        <v>0.037967934871017794</v>
      </c>
      <c r="P202" s="513">
        <f t="shared" si="93"/>
        <v>0.03809984626959939</v>
      </c>
      <c r="Q202" s="513">
        <f t="shared" si="93"/>
        <v>0.035913921625808864</v>
      </c>
      <c r="R202" s="513">
        <f t="shared" si="93"/>
        <v>0.03932177420133076</v>
      </c>
      <c r="S202" s="513">
        <f t="shared" si="93"/>
        <v>0</v>
      </c>
      <c r="T202" s="513">
        <f t="shared" si="93"/>
        <v>0</v>
      </c>
      <c r="U202" s="513">
        <f t="shared" si="93"/>
        <v>0</v>
      </c>
      <c r="V202" s="513">
        <f t="shared" si="93"/>
        <v>0</v>
      </c>
      <c r="W202" s="513">
        <f t="shared" si="93"/>
        <v>0</v>
      </c>
      <c r="X202" s="513">
        <f t="shared" si="93"/>
        <v>0</v>
      </c>
      <c r="Y202" s="513">
        <f t="shared" si="93"/>
        <v>0</v>
      </c>
      <c r="Z202" s="513">
        <f t="shared" si="93"/>
        <v>0</v>
      </c>
      <c r="AA202" s="513">
        <f t="shared" si="93"/>
        <v>0</v>
      </c>
      <c r="AB202" s="513">
        <f t="shared" si="93"/>
        <v>0</v>
      </c>
      <c r="AC202" s="513">
        <f t="shared" si="93"/>
        <v>0</v>
      </c>
      <c r="AD202" s="513">
        <f t="shared" si="93"/>
        <v>0</v>
      </c>
      <c r="AE202" s="513">
        <f t="shared" si="93"/>
        <v>0</v>
      </c>
      <c r="AF202" s="513">
        <f t="shared" si="93"/>
        <v>0</v>
      </c>
      <c r="AG202" s="513">
        <f t="shared" si="93"/>
        <v>0</v>
      </c>
      <c r="AH202" s="513">
        <f t="shared" si="93"/>
        <v>0</v>
      </c>
      <c r="AI202" s="513">
        <f t="shared" si="93"/>
        <v>0</v>
      </c>
      <c r="AJ202" s="513">
        <f t="shared" si="93"/>
        <v>0</v>
      </c>
      <c r="AK202" s="513">
        <f t="shared" si="93"/>
        <v>0</v>
      </c>
      <c r="AL202" s="513">
        <f t="shared" si="93"/>
        <v>0</v>
      </c>
      <c r="AM202" s="513">
        <f t="shared" si="93"/>
        <v>0</v>
      </c>
      <c r="AN202" s="514">
        <f t="shared" si="93"/>
        <v>0</v>
      </c>
    </row>
    <row r="203" spans="6:40" ht="24" outlineLevel="2">
      <c r="F203" s="228" t="s">
        <v>42</v>
      </c>
      <c r="G203" s="515" t="s">
        <v>450</v>
      </c>
      <c r="H203" s="516">
        <f aca="true" t="shared" si="94" ref="H203:AN203">+IF(H10=0,0,IF(G229&lt;&gt;0,H229/G229-1,0))</f>
        <v>0.058095344818561934</v>
      </c>
      <c r="I203" s="516">
        <f t="shared" si="94"/>
        <v>0.1413658920470111</v>
      </c>
      <c r="J203" s="517">
        <f t="shared" si="94"/>
        <v>-0.03160555573297863</v>
      </c>
      <c r="K203" s="512">
        <f t="shared" si="94"/>
        <v>0.04909353833085661</v>
      </c>
      <c r="L203" s="513">
        <f t="shared" si="94"/>
        <v>0.027446030104784747</v>
      </c>
      <c r="M203" s="513">
        <f t="shared" si="94"/>
        <v>0.02999999954825494</v>
      </c>
      <c r="N203" s="513">
        <f t="shared" si="94"/>
        <v>0.040000000438587424</v>
      </c>
      <c r="O203" s="513">
        <f t="shared" si="94"/>
        <v>0.039999999539943154</v>
      </c>
      <c r="P203" s="513">
        <f t="shared" si="94"/>
        <v>0.04000000047922603</v>
      </c>
      <c r="Q203" s="513">
        <f t="shared" si="94"/>
        <v>0.040000000106336975</v>
      </c>
      <c r="R203" s="513">
        <f t="shared" si="94"/>
        <v>0.03999999948876387</v>
      </c>
      <c r="S203" s="513">
        <f t="shared" si="94"/>
        <v>0</v>
      </c>
      <c r="T203" s="513">
        <f t="shared" si="94"/>
        <v>0</v>
      </c>
      <c r="U203" s="513">
        <f t="shared" si="94"/>
        <v>0</v>
      </c>
      <c r="V203" s="513">
        <f t="shared" si="94"/>
        <v>0</v>
      </c>
      <c r="W203" s="513">
        <f t="shared" si="94"/>
        <v>0</v>
      </c>
      <c r="X203" s="513">
        <f t="shared" si="94"/>
        <v>0</v>
      </c>
      <c r="Y203" s="513">
        <f t="shared" si="94"/>
        <v>0</v>
      </c>
      <c r="Z203" s="513">
        <f t="shared" si="94"/>
        <v>0</v>
      </c>
      <c r="AA203" s="513">
        <f t="shared" si="94"/>
        <v>0</v>
      </c>
      <c r="AB203" s="513">
        <f t="shared" si="94"/>
        <v>0</v>
      </c>
      <c r="AC203" s="513">
        <f t="shared" si="94"/>
        <v>0</v>
      </c>
      <c r="AD203" s="513">
        <f t="shared" si="94"/>
        <v>0</v>
      </c>
      <c r="AE203" s="513">
        <f t="shared" si="94"/>
        <v>0</v>
      </c>
      <c r="AF203" s="513">
        <f t="shared" si="94"/>
        <v>0</v>
      </c>
      <c r="AG203" s="513">
        <f t="shared" si="94"/>
        <v>0</v>
      </c>
      <c r="AH203" s="513">
        <f t="shared" si="94"/>
        <v>0</v>
      </c>
      <c r="AI203" s="513">
        <f t="shared" si="94"/>
        <v>0</v>
      </c>
      <c r="AJ203" s="513">
        <f t="shared" si="94"/>
        <v>0</v>
      </c>
      <c r="AK203" s="513">
        <f t="shared" si="94"/>
        <v>0</v>
      </c>
      <c r="AL203" s="513">
        <f t="shared" si="94"/>
        <v>0</v>
      </c>
      <c r="AM203" s="513">
        <f t="shared" si="94"/>
        <v>0</v>
      </c>
      <c r="AN203" s="514">
        <f t="shared" si="94"/>
        <v>0</v>
      </c>
    </row>
    <row r="204" spans="6:40" ht="48" outlineLevel="2">
      <c r="F204" s="229" t="s">
        <v>412</v>
      </c>
      <c r="G204" s="533" t="s">
        <v>450</v>
      </c>
      <c r="H204" s="534">
        <f aca="true" t="shared" si="95" ref="H204:AN204">+IF(H10=0,0,IF(G230&lt;&gt;0,H230/G230-1,0))</f>
        <v>-0.05007645933917748</v>
      </c>
      <c r="I204" s="534">
        <f t="shared" si="95"/>
        <v>0.6786112662924471</v>
      </c>
      <c r="J204" s="535">
        <f t="shared" si="95"/>
        <v>-0.3650273948550432</v>
      </c>
      <c r="K204" s="536">
        <f t="shared" si="95"/>
        <v>0.31892169687152183</v>
      </c>
      <c r="L204" s="537">
        <f t="shared" si="95"/>
        <v>-0.08129581298490052</v>
      </c>
      <c r="M204" s="537">
        <f t="shared" si="95"/>
        <v>-0.026262289863776322</v>
      </c>
      <c r="N204" s="537">
        <f t="shared" si="95"/>
        <v>0.015022456998869504</v>
      </c>
      <c r="O204" s="537">
        <f t="shared" si="95"/>
        <v>0.04000000089159661</v>
      </c>
      <c r="P204" s="537">
        <f t="shared" si="95"/>
        <v>0.040000000457228735</v>
      </c>
      <c r="Q204" s="537">
        <f t="shared" si="95"/>
        <v>0.03999999895584705</v>
      </c>
      <c r="R204" s="537">
        <f t="shared" si="95"/>
        <v>0.0400000008454684</v>
      </c>
      <c r="S204" s="537">
        <f t="shared" si="95"/>
        <v>0</v>
      </c>
      <c r="T204" s="537">
        <f t="shared" si="95"/>
        <v>0</v>
      </c>
      <c r="U204" s="537">
        <f t="shared" si="95"/>
        <v>0</v>
      </c>
      <c r="V204" s="537">
        <f t="shared" si="95"/>
        <v>0</v>
      </c>
      <c r="W204" s="537">
        <f t="shared" si="95"/>
        <v>0</v>
      </c>
      <c r="X204" s="537">
        <f t="shared" si="95"/>
        <v>0</v>
      </c>
      <c r="Y204" s="537">
        <f t="shared" si="95"/>
        <v>0</v>
      </c>
      <c r="Z204" s="537">
        <f t="shared" si="95"/>
        <v>0</v>
      </c>
      <c r="AA204" s="537">
        <f t="shared" si="95"/>
        <v>0</v>
      </c>
      <c r="AB204" s="537">
        <f t="shared" si="95"/>
        <v>0</v>
      </c>
      <c r="AC204" s="537">
        <f t="shared" si="95"/>
        <v>0</v>
      </c>
      <c r="AD204" s="537">
        <f t="shared" si="95"/>
        <v>0</v>
      </c>
      <c r="AE204" s="537">
        <f t="shared" si="95"/>
        <v>0</v>
      </c>
      <c r="AF204" s="537">
        <f t="shared" si="95"/>
        <v>0</v>
      </c>
      <c r="AG204" s="537">
        <f t="shared" si="95"/>
        <v>0</v>
      </c>
      <c r="AH204" s="537">
        <f t="shared" si="95"/>
        <v>0</v>
      </c>
      <c r="AI204" s="537">
        <f t="shared" si="95"/>
        <v>0</v>
      </c>
      <c r="AJ204" s="537">
        <f t="shared" si="95"/>
        <v>0</v>
      </c>
      <c r="AK204" s="537">
        <f t="shared" si="95"/>
        <v>0</v>
      </c>
      <c r="AL204" s="537">
        <f t="shared" si="95"/>
        <v>0</v>
      </c>
      <c r="AM204" s="537">
        <f t="shared" si="95"/>
        <v>0</v>
      </c>
      <c r="AN204" s="538">
        <f t="shared" si="95"/>
        <v>0</v>
      </c>
    </row>
    <row r="205" spans="6:40" ht="14.25" outlineLevel="1">
      <c r="F205" s="422" t="s">
        <v>462</v>
      </c>
      <c r="G205" s="485"/>
      <c r="H205" s="485"/>
      <c r="I205" s="485"/>
      <c r="J205" s="485"/>
      <c r="K205" s="489"/>
      <c r="L205" s="489"/>
      <c r="M205" s="489"/>
      <c r="N205" s="489"/>
      <c r="O205" s="489"/>
      <c r="P205" s="489"/>
      <c r="Q205" s="489"/>
      <c r="R205" s="489"/>
      <c r="S205" s="489"/>
      <c r="T205" s="489"/>
      <c r="U205" s="489"/>
      <c r="V205" s="489"/>
      <c r="W205" s="489"/>
      <c r="X205" s="489"/>
      <c r="Y205" s="489"/>
      <c r="Z205" s="489"/>
      <c r="AA205" s="489"/>
      <c r="AB205" s="489"/>
      <c r="AC205" s="489"/>
      <c r="AD205" s="489"/>
      <c r="AE205" s="489"/>
      <c r="AF205" s="489"/>
      <c r="AG205" s="489"/>
      <c r="AH205" s="489"/>
      <c r="AI205" s="489"/>
      <c r="AJ205" s="489"/>
      <c r="AK205" s="489"/>
      <c r="AL205" s="489"/>
      <c r="AM205" s="489"/>
      <c r="AN205" s="489"/>
    </row>
    <row r="206" spans="1:40" s="387" customFormat="1" ht="15" outlineLevel="2">
      <c r="A206" s="386"/>
      <c r="B206" s="386"/>
      <c r="C206" s="386"/>
      <c r="D206" s="386"/>
      <c r="E206" s="386"/>
      <c r="F206" s="226" t="s">
        <v>26</v>
      </c>
      <c r="G206" s="539" t="s">
        <v>450</v>
      </c>
      <c r="H206" s="540">
        <f aca="true" t="shared" si="96" ref="H206:H211">+IF(H$219=0,"",H219-G219)</f>
        <v>257518.1799999997</v>
      </c>
      <c r="I206" s="540">
        <f aca="true" t="shared" si="97" ref="I206:I211">+IF(I$219=0,"",I219-H219)</f>
        <v>1575155.1099999994</v>
      </c>
      <c r="J206" s="541">
        <f aca="true" t="shared" si="98" ref="J206:J211">+IF(J$219=0,"",J219-I219)</f>
        <v>283776.22000000253</v>
      </c>
      <c r="K206" s="542">
        <f aca="true" t="shared" si="99" ref="K206:AN211">+IF(K$219=0,"",K219-J219)</f>
        <v>1503269.9800000004</v>
      </c>
      <c r="L206" s="543">
        <f t="shared" si="99"/>
        <v>-25397.310000002384</v>
      </c>
      <c r="M206" s="543">
        <f t="shared" si="99"/>
        <v>621763.1099999994</v>
      </c>
      <c r="N206" s="543">
        <f t="shared" si="99"/>
        <v>665829.1500000022</v>
      </c>
      <c r="O206" s="543">
        <f t="shared" si="99"/>
        <v>847625.9600000009</v>
      </c>
      <c r="P206" s="543">
        <f t="shared" si="99"/>
        <v>901463.379999999</v>
      </c>
      <c r="Q206" s="543">
        <f t="shared" si="99"/>
        <v>936620.4499999993</v>
      </c>
      <c r="R206" s="543">
        <f t="shared" si="99"/>
        <v>973148.6400000006</v>
      </c>
      <c r="S206" s="543">
        <f t="shared" si="99"/>
      </c>
      <c r="T206" s="543">
        <f t="shared" si="99"/>
      </c>
      <c r="U206" s="543">
        <f t="shared" si="99"/>
      </c>
      <c r="V206" s="543">
        <f t="shared" si="99"/>
      </c>
      <c r="W206" s="543">
        <f t="shared" si="99"/>
      </c>
      <c r="X206" s="543">
        <f t="shared" si="99"/>
      </c>
      <c r="Y206" s="543">
        <f t="shared" si="99"/>
      </c>
      <c r="Z206" s="543">
        <f t="shared" si="99"/>
      </c>
      <c r="AA206" s="543">
        <f t="shared" si="99"/>
      </c>
      <c r="AB206" s="543">
        <f t="shared" si="99"/>
      </c>
      <c r="AC206" s="543">
        <f t="shared" si="99"/>
      </c>
      <c r="AD206" s="543">
        <f t="shared" si="99"/>
      </c>
      <c r="AE206" s="543">
        <f t="shared" si="99"/>
      </c>
      <c r="AF206" s="543">
        <f t="shared" si="99"/>
      </c>
      <c r="AG206" s="543">
        <f t="shared" si="99"/>
      </c>
      <c r="AH206" s="543">
        <f t="shared" si="99"/>
      </c>
      <c r="AI206" s="543">
        <f t="shared" si="99"/>
      </c>
      <c r="AJ206" s="543">
        <f t="shared" si="99"/>
      </c>
      <c r="AK206" s="543">
        <f t="shared" si="99"/>
      </c>
      <c r="AL206" s="543">
        <f t="shared" si="99"/>
      </c>
      <c r="AM206" s="543">
        <f t="shared" si="99"/>
      </c>
      <c r="AN206" s="544">
        <f t="shared" si="99"/>
      </c>
    </row>
    <row r="207" spans="6:40" ht="15" customHeight="1" outlineLevel="2">
      <c r="F207" s="227" t="s">
        <v>414</v>
      </c>
      <c r="G207" s="545" t="s">
        <v>450</v>
      </c>
      <c r="H207" s="546">
        <f t="shared" si="96"/>
        <v>11597.169999998063</v>
      </c>
      <c r="I207" s="546">
        <f t="shared" si="97"/>
        <v>1190936.4000000022</v>
      </c>
      <c r="J207" s="547">
        <f t="shared" si="98"/>
        <v>317553.4600000009</v>
      </c>
      <c r="K207" s="548">
        <f t="shared" si="99"/>
        <v>1469560.3500000015</v>
      </c>
      <c r="L207" s="549">
        <f t="shared" si="99"/>
        <v>473238.299999997</v>
      </c>
      <c r="M207" s="549">
        <f t="shared" si="99"/>
        <v>704061.7699999996</v>
      </c>
      <c r="N207" s="549">
        <f t="shared" si="99"/>
        <v>825058.6700000018</v>
      </c>
      <c r="O207" s="549">
        <f t="shared" si="99"/>
        <v>847625.9600000009</v>
      </c>
      <c r="P207" s="549">
        <f t="shared" si="99"/>
        <v>901463.379999999</v>
      </c>
      <c r="Q207" s="549">
        <f t="shared" si="99"/>
        <v>936620.4499999993</v>
      </c>
      <c r="R207" s="549">
        <f t="shared" si="99"/>
        <v>973148.6400000006</v>
      </c>
      <c r="S207" s="549">
        <f t="shared" si="99"/>
      </c>
      <c r="T207" s="549">
        <f t="shared" si="99"/>
      </c>
      <c r="U207" s="549">
        <f t="shared" si="99"/>
      </c>
      <c r="V207" s="549">
        <f t="shared" si="99"/>
      </c>
      <c r="W207" s="549">
        <f t="shared" si="99"/>
      </c>
      <c r="X207" s="549">
        <f t="shared" si="99"/>
      </c>
      <c r="Y207" s="549">
        <f t="shared" si="99"/>
      </c>
      <c r="Z207" s="549">
        <f t="shared" si="99"/>
      </c>
      <c r="AA207" s="549">
        <f t="shared" si="99"/>
      </c>
      <c r="AB207" s="549">
        <f t="shared" si="99"/>
      </c>
      <c r="AC207" s="549">
        <f t="shared" si="99"/>
      </c>
      <c r="AD207" s="549">
        <f t="shared" si="99"/>
      </c>
      <c r="AE207" s="549">
        <f t="shared" si="99"/>
      </c>
      <c r="AF207" s="549">
        <f t="shared" si="99"/>
      </c>
      <c r="AG207" s="549">
        <f t="shared" si="99"/>
      </c>
      <c r="AH207" s="549">
        <f t="shared" si="99"/>
      </c>
      <c r="AI207" s="549">
        <f t="shared" si="99"/>
      </c>
      <c r="AJ207" s="549">
        <f t="shared" si="99"/>
      </c>
      <c r="AK207" s="549">
        <f t="shared" si="99"/>
      </c>
      <c r="AL207" s="549">
        <f t="shared" si="99"/>
      </c>
      <c r="AM207" s="549">
        <f t="shared" si="99"/>
      </c>
      <c r="AN207" s="550">
        <f t="shared" si="99"/>
      </c>
    </row>
    <row r="208" spans="6:40" ht="15" customHeight="1" outlineLevel="2">
      <c r="F208" s="228" t="s">
        <v>415</v>
      </c>
      <c r="G208" s="551" t="s">
        <v>450</v>
      </c>
      <c r="H208" s="552">
        <f t="shared" si="96"/>
        <v>999142.9699999988</v>
      </c>
      <c r="I208" s="552">
        <f t="shared" si="97"/>
        <v>1070418.4200000018</v>
      </c>
      <c r="J208" s="553">
        <f t="shared" si="98"/>
        <v>420553.4600000009</v>
      </c>
      <c r="K208" s="548">
        <f t="shared" si="99"/>
        <v>1439560.3500000015</v>
      </c>
      <c r="L208" s="549">
        <f t="shared" si="99"/>
        <v>505238.299999997</v>
      </c>
      <c r="M208" s="549">
        <f t="shared" si="99"/>
        <v>704061.7699999996</v>
      </c>
      <c r="N208" s="549">
        <f t="shared" si="99"/>
        <v>835058.6700000018</v>
      </c>
      <c r="O208" s="549">
        <f t="shared" si="99"/>
        <v>867625.9600000009</v>
      </c>
      <c r="P208" s="549">
        <f t="shared" si="99"/>
        <v>901463.379999999</v>
      </c>
      <c r="Q208" s="549">
        <f t="shared" si="99"/>
        <v>936620.4499999993</v>
      </c>
      <c r="R208" s="549">
        <f t="shared" si="99"/>
        <v>973148.6400000006</v>
      </c>
      <c r="S208" s="549">
        <f t="shared" si="99"/>
      </c>
      <c r="T208" s="549">
        <f t="shared" si="99"/>
      </c>
      <c r="U208" s="549">
        <f t="shared" si="99"/>
      </c>
      <c r="V208" s="549">
        <f t="shared" si="99"/>
      </c>
      <c r="W208" s="549">
        <f t="shared" si="99"/>
      </c>
      <c r="X208" s="549">
        <f t="shared" si="99"/>
      </c>
      <c r="Y208" s="549">
        <f t="shared" si="99"/>
      </c>
      <c r="Z208" s="549">
        <f t="shared" si="99"/>
      </c>
      <c r="AA208" s="549">
        <f t="shared" si="99"/>
      </c>
      <c r="AB208" s="549">
        <f t="shared" si="99"/>
      </c>
      <c r="AC208" s="549">
        <f t="shared" si="99"/>
      </c>
      <c r="AD208" s="549">
        <f t="shared" si="99"/>
      </c>
      <c r="AE208" s="549">
        <f t="shared" si="99"/>
      </c>
      <c r="AF208" s="549">
        <f t="shared" si="99"/>
      </c>
      <c r="AG208" s="549">
        <f t="shared" si="99"/>
      </c>
      <c r="AH208" s="549">
        <f t="shared" si="99"/>
      </c>
      <c r="AI208" s="549">
        <f t="shared" si="99"/>
      </c>
      <c r="AJ208" s="549">
        <f t="shared" si="99"/>
      </c>
      <c r="AK208" s="549">
        <f t="shared" si="99"/>
      </c>
      <c r="AL208" s="549">
        <f t="shared" si="99"/>
      </c>
      <c r="AM208" s="549">
        <f t="shared" si="99"/>
      </c>
      <c r="AN208" s="550">
        <f t="shared" si="99"/>
      </c>
    </row>
    <row r="209" spans="6:40" ht="15" customHeight="1" outlineLevel="2">
      <c r="F209" s="228" t="s">
        <v>416</v>
      </c>
      <c r="G209" s="551" t="s">
        <v>450</v>
      </c>
      <c r="H209" s="552">
        <f t="shared" si="96"/>
        <v>-987545.7999999999</v>
      </c>
      <c r="I209" s="552">
        <f t="shared" si="97"/>
        <v>120517.98000000001</v>
      </c>
      <c r="J209" s="553">
        <f t="shared" si="98"/>
        <v>-103000</v>
      </c>
      <c r="K209" s="548">
        <f t="shared" si="99"/>
        <v>30000</v>
      </c>
      <c r="L209" s="549">
        <f t="shared" si="99"/>
        <v>-32000</v>
      </c>
      <c r="M209" s="549">
        <f t="shared" si="99"/>
        <v>0</v>
      </c>
      <c r="N209" s="549">
        <f t="shared" si="99"/>
        <v>-10000</v>
      </c>
      <c r="O209" s="549">
        <f t="shared" si="99"/>
        <v>-20000</v>
      </c>
      <c r="P209" s="549">
        <f t="shared" si="99"/>
        <v>0</v>
      </c>
      <c r="Q209" s="549">
        <f t="shared" si="99"/>
        <v>0</v>
      </c>
      <c r="R209" s="549">
        <f t="shared" si="99"/>
        <v>0</v>
      </c>
      <c r="S209" s="549">
        <f t="shared" si="99"/>
      </c>
      <c r="T209" s="549">
        <f t="shared" si="99"/>
      </c>
      <c r="U209" s="549">
        <f t="shared" si="99"/>
      </c>
      <c r="V209" s="549">
        <f t="shared" si="99"/>
      </c>
      <c r="W209" s="549">
        <f t="shared" si="99"/>
      </c>
      <c r="X209" s="549">
        <f t="shared" si="99"/>
      </c>
      <c r="Y209" s="549">
        <f t="shared" si="99"/>
      </c>
      <c r="Z209" s="549">
        <f t="shared" si="99"/>
      </c>
      <c r="AA209" s="549">
        <f t="shared" si="99"/>
      </c>
      <c r="AB209" s="549">
        <f t="shared" si="99"/>
      </c>
      <c r="AC209" s="549">
        <f t="shared" si="99"/>
      </c>
      <c r="AD209" s="549">
        <f t="shared" si="99"/>
      </c>
      <c r="AE209" s="549">
        <f t="shared" si="99"/>
      </c>
      <c r="AF209" s="549">
        <f t="shared" si="99"/>
      </c>
      <c r="AG209" s="549">
        <f t="shared" si="99"/>
      </c>
      <c r="AH209" s="549">
        <f t="shared" si="99"/>
      </c>
      <c r="AI209" s="549">
        <f t="shared" si="99"/>
      </c>
      <c r="AJ209" s="549">
        <f t="shared" si="99"/>
      </c>
      <c r="AK209" s="549">
        <f t="shared" si="99"/>
      </c>
      <c r="AL209" s="549">
        <f t="shared" si="99"/>
      </c>
      <c r="AM209" s="549">
        <f t="shared" si="99"/>
      </c>
      <c r="AN209" s="550">
        <f t="shared" si="99"/>
      </c>
    </row>
    <row r="210" spans="6:40" ht="24" outlineLevel="2">
      <c r="F210" s="228" t="s">
        <v>417</v>
      </c>
      <c r="G210" s="551" t="s">
        <v>450</v>
      </c>
      <c r="H210" s="552">
        <f t="shared" si="96"/>
        <v>-949639.7999999999</v>
      </c>
      <c r="I210" s="552">
        <f t="shared" si="97"/>
        <v>0</v>
      </c>
      <c r="J210" s="553">
        <f t="shared" si="98"/>
        <v>32000</v>
      </c>
      <c r="K210" s="548">
        <f t="shared" si="99"/>
        <v>-15000</v>
      </c>
      <c r="L210" s="549">
        <f t="shared" si="99"/>
        <v>13000</v>
      </c>
      <c r="M210" s="549">
        <f t="shared" si="99"/>
        <v>0</v>
      </c>
      <c r="N210" s="549">
        <f t="shared" si="99"/>
        <v>-10000</v>
      </c>
      <c r="O210" s="549">
        <f t="shared" si="99"/>
        <v>-20000</v>
      </c>
      <c r="P210" s="549">
        <f t="shared" si="99"/>
        <v>0</v>
      </c>
      <c r="Q210" s="549">
        <f t="shared" si="99"/>
        <v>0</v>
      </c>
      <c r="R210" s="549">
        <f t="shared" si="99"/>
        <v>0</v>
      </c>
      <c r="S210" s="549">
        <f t="shared" si="99"/>
      </c>
      <c r="T210" s="549">
        <f t="shared" si="99"/>
      </c>
      <c r="U210" s="549">
        <f t="shared" si="99"/>
      </c>
      <c r="V210" s="549">
        <f t="shared" si="99"/>
      </c>
      <c r="W210" s="549">
        <f t="shared" si="99"/>
      </c>
      <c r="X210" s="549">
        <f t="shared" si="99"/>
      </c>
      <c r="Y210" s="549">
        <f t="shared" si="99"/>
      </c>
      <c r="Z210" s="549">
        <f t="shared" si="99"/>
      </c>
      <c r="AA210" s="549">
        <f t="shared" si="99"/>
      </c>
      <c r="AB210" s="549">
        <f t="shared" si="99"/>
      </c>
      <c r="AC210" s="549">
        <f t="shared" si="99"/>
      </c>
      <c r="AD210" s="549">
        <f t="shared" si="99"/>
      </c>
      <c r="AE210" s="549">
        <f t="shared" si="99"/>
      </c>
      <c r="AF210" s="549">
        <f t="shared" si="99"/>
      </c>
      <c r="AG210" s="549">
        <f t="shared" si="99"/>
      </c>
      <c r="AH210" s="549">
        <f t="shared" si="99"/>
      </c>
      <c r="AI210" s="549">
        <f t="shared" si="99"/>
      </c>
      <c r="AJ210" s="549">
        <f t="shared" si="99"/>
      </c>
      <c r="AK210" s="549">
        <f t="shared" si="99"/>
      </c>
      <c r="AL210" s="549">
        <f t="shared" si="99"/>
      </c>
      <c r="AM210" s="549">
        <f t="shared" si="99"/>
      </c>
      <c r="AN210" s="550">
        <f t="shared" si="99"/>
      </c>
    </row>
    <row r="211" spans="6:40" ht="15" customHeight="1" outlineLevel="2">
      <c r="F211" s="229" t="s">
        <v>40</v>
      </c>
      <c r="G211" s="554" t="s">
        <v>450</v>
      </c>
      <c r="H211" s="555">
        <f t="shared" si="96"/>
        <v>-37906</v>
      </c>
      <c r="I211" s="555">
        <f t="shared" si="97"/>
        <v>120517.98</v>
      </c>
      <c r="J211" s="556">
        <f t="shared" si="98"/>
        <v>-135000</v>
      </c>
      <c r="K211" s="557">
        <f t="shared" si="99"/>
        <v>45000</v>
      </c>
      <c r="L211" s="558">
        <f t="shared" si="99"/>
        <v>-45000</v>
      </c>
      <c r="M211" s="558">
        <f t="shared" si="99"/>
        <v>0</v>
      </c>
      <c r="N211" s="558">
        <f t="shared" si="99"/>
        <v>0</v>
      </c>
      <c r="O211" s="558">
        <f t="shared" si="99"/>
        <v>0</v>
      </c>
      <c r="P211" s="558">
        <f t="shared" si="99"/>
        <v>0</v>
      </c>
      <c r="Q211" s="558">
        <f t="shared" si="99"/>
        <v>0</v>
      </c>
      <c r="R211" s="558">
        <f t="shared" si="99"/>
        <v>0</v>
      </c>
      <c r="S211" s="558">
        <f t="shared" si="99"/>
      </c>
      <c r="T211" s="558">
        <f t="shared" si="99"/>
      </c>
      <c r="U211" s="558">
        <f t="shared" si="99"/>
      </c>
      <c r="V211" s="558">
        <f t="shared" si="99"/>
      </c>
      <c r="W211" s="558">
        <f t="shared" si="99"/>
      </c>
      <c r="X211" s="558">
        <f t="shared" si="99"/>
      </c>
      <c r="Y211" s="558">
        <f t="shared" si="99"/>
      </c>
      <c r="Z211" s="558">
        <f t="shared" si="99"/>
      </c>
      <c r="AA211" s="558">
        <f t="shared" si="99"/>
      </c>
      <c r="AB211" s="558">
        <f t="shared" si="99"/>
      </c>
      <c r="AC211" s="558">
        <f t="shared" si="99"/>
      </c>
      <c r="AD211" s="558">
        <f t="shared" si="99"/>
      </c>
      <c r="AE211" s="558">
        <f t="shared" si="99"/>
      </c>
      <c r="AF211" s="558">
        <f t="shared" si="99"/>
      </c>
      <c r="AG211" s="558">
        <f t="shared" si="99"/>
      </c>
      <c r="AH211" s="558">
        <f t="shared" si="99"/>
      </c>
      <c r="AI211" s="558">
        <f t="shared" si="99"/>
      </c>
      <c r="AJ211" s="558">
        <f t="shared" si="99"/>
      </c>
      <c r="AK211" s="558">
        <f t="shared" si="99"/>
      </c>
      <c r="AL211" s="558">
        <f t="shared" si="99"/>
      </c>
      <c r="AM211" s="558">
        <f t="shared" si="99"/>
      </c>
      <c r="AN211" s="559">
        <f t="shared" si="99"/>
      </c>
    </row>
    <row r="212" spans="1:40" s="387" customFormat="1" ht="15" outlineLevel="2">
      <c r="A212" s="386"/>
      <c r="B212" s="386"/>
      <c r="C212" s="386"/>
      <c r="D212" s="386"/>
      <c r="E212" s="386"/>
      <c r="F212" s="226" t="s">
        <v>21</v>
      </c>
      <c r="G212" s="539" t="s">
        <v>450</v>
      </c>
      <c r="H212" s="540">
        <f aca="true" t="shared" si="100" ref="H212:H217">+IF(H$225=0,"",H225-G225)</f>
        <v>-1356629.6600000001</v>
      </c>
      <c r="I212" s="540">
        <f aca="true" t="shared" si="101" ref="I212:I217">+IF(I$225=0,"",I225-H225)</f>
        <v>3047779.9299999997</v>
      </c>
      <c r="J212" s="541">
        <f aca="true" t="shared" si="102" ref="J212:J217">+IF(J$225=0,"",J225-I225)</f>
        <v>-1945586.9799999967</v>
      </c>
      <c r="K212" s="542">
        <f aca="true" t="shared" si="103" ref="K212:K217">+IF(K$225=0,"",K225-J225)</f>
        <v>3918529.1799999997</v>
      </c>
      <c r="L212" s="543">
        <f aca="true" t="shared" si="104" ref="L212:AN217">+IF(L$225=0,"",L225-K225)</f>
        <v>-1521516.6100000031</v>
      </c>
      <c r="M212" s="543">
        <f t="shared" si="104"/>
        <v>3061.4100000038743</v>
      </c>
      <c r="N212" s="543">
        <f t="shared" si="104"/>
        <v>441829.1499999985</v>
      </c>
      <c r="O212" s="543">
        <f t="shared" si="104"/>
        <v>747625.9600000009</v>
      </c>
      <c r="P212" s="543">
        <f t="shared" si="104"/>
        <v>927542.379999999</v>
      </c>
      <c r="Q212" s="543">
        <f t="shared" si="104"/>
        <v>1060541.4499999993</v>
      </c>
      <c r="R212" s="543">
        <f t="shared" si="104"/>
        <v>1723652.1800000034</v>
      </c>
      <c r="S212" s="543">
        <f t="shared" si="104"/>
      </c>
      <c r="T212" s="543">
        <f t="shared" si="104"/>
      </c>
      <c r="U212" s="543">
        <f t="shared" si="104"/>
      </c>
      <c r="V212" s="543">
        <f t="shared" si="104"/>
      </c>
      <c r="W212" s="543">
        <f t="shared" si="104"/>
      </c>
      <c r="X212" s="543">
        <f t="shared" si="104"/>
      </c>
      <c r="Y212" s="543">
        <f t="shared" si="104"/>
      </c>
      <c r="Z212" s="543">
        <f t="shared" si="104"/>
      </c>
      <c r="AA212" s="543">
        <f t="shared" si="104"/>
      </c>
      <c r="AB212" s="543">
        <f t="shared" si="104"/>
      </c>
      <c r="AC212" s="543">
        <f t="shared" si="104"/>
      </c>
      <c r="AD212" s="543">
        <f t="shared" si="104"/>
      </c>
      <c r="AE212" s="543">
        <f t="shared" si="104"/>
      </c>
      <c r="AF212" s="543">
        <f t="shared" si="104"/>
      </c>
      <c r="AG212" s="543">
        <f t="shared" si="104"/>
      </c>
      <c r="AH212" s="543">
        <f t="shared" si="104"/>
      </c>
      <c r="AI212" s="543">
        <f t="shared" si="104"/>
      </c>
      <c r="AJ212" s="543">
        <f t="shared" si="104"/>
      </c>
      <c r="AK212" s="543">
        <f t="shared" si="104"/>
      </c>
      <c r="AL212" s="543">
        <f t="shared" si="104"/>
      </c>
      <c r="AM212" s="543">
        <f t="shared" si="104"/>
      </c>
      <c r="AN212" s="544">
        <f t="shared" si="104"/>
      </c>
    </row>
    <row r="213" spans="6:40" ht="24" outlineLevel="2">
      <c r="F213" s="230" t="s">
        <v>413</v>
      </c>
      <c r="G213" s="551" t="s">
        <v>450</v>
      </c>
      <c r="H213" s="552">
        <f t="shared" si="100"/>
        <v>-1443389.539999999</v>
      </c>
      <c r="I213" s="552">
        <f t="shared" si="101"/>
        <v>2648999.1599999964</v>
      </c>
      <c r="J213" s="553">
        <f t="shared" si="102"/>
        <v>-1896231.1199999936</v>
      </c>
      <c r="K213" s="548">
        <f t="shared" si="103"/>
        <v>4730644.879999999</v>
      </c>
      <c r="L213" s="549">
        <f aca="true" t="shared" si="105" ref="L213:Z213">+IF(L$225=0,"",L226-K226)</f>
        <v>-1821505.9000000022</v>
      </c>
      <c r="M213" s="549">
        <f t="shared" si="105"/>
        <v>145628.90000000224</v>
      </c>
      <c r="N213" s="549">
        <f t="shared" si="105"/>
        <v>616050.9499999993</v>
      </c>
      <c r="O213" s="549">
        <f t="shared" si="105"/>
        <v>747625.9600000009</v>
      </c>
      <c r="P213" s="549">
        <f t="shared" si="105"/>
        <v>927542.379999999</v>
      </c>
      <c r="Q213" s="549">
        <f t="shared" si="105"/>
        <v>1060541.4499999993</v>
      </c>
      <c r="R213" s="549">
        <f t="shared" si="105"/>
        <v>1723652.1800000034</v>
      </c>
      <c r="S213" s="549">
        <f t="shared" si="105"/>
      </c>
      <c r="T213" s="549">
        <f t="shared" si="105"/>
      </c>
      <c r="U213" s="549">
        <f t="shared" si="105"/>
      </c>
      <c r="V213" s="549">
        <f t="shared" si="105"/>
      </c>
      <c r="W213" s="549">
        <f t="shared" si="105"/>
      </c>
      <c r="X213" s="549">
        <f t="shared" si="105"/>
      </c>
      <c r="Y213" s="549">
        <f t="shared" si="105"/>
      </c>
      <c r="Z213" s="549">
        <f t="shared" si="105"/>
      </c>
      <c r="AA213" s="549">
        <f t="shared" si="104"/>
      </c>
      <c r="AB213" s="549">
        <f t="shared" si="104"/>
      </c>
      <c r="AC213" s="549">
        <f t="shared" si="104"/>
      </c>
      <c r="AD213" s="549">
        <f t="shared" si="104"/>
      </c>
      <c r="AE213" s="549">
        <f t="shared" si="104"/>
      </c>
      <c r="AF213" s="549">
        <f t="shared" si="104"/>
      </c>
      <c r="AG213" s="549">
        <f t="shared" si="104"/>
      </c>
      <c r="AH213" s="549">
        <f t="shared" si="104"/>
      </c>
      <c r="AI213" s="549">
        <f t="shared" si="104"/>
      </c>
      <c r="AJ213" s="549">
        <f t="shared" si="104"/>
      </c>
      <c r="AK213" s="549">
        <f t="shared" si="104"/>
      </c>
      <c r="AL213" s="549">
        <f t="shared" si="104"/>
      </c>
      <c r="AM213" s="549">
        <f t="shared" si="104"/>
      </c>
      <c r="AN213" s="550">
        <f t="shared" si="104"/>
      </c>
    </row>
    <row r="214" spans="6:40" ht="15" customHeight="1" outlineLevel="2">
      <c r="F214" s="231" t="s">
        <v>41</v>
      </c>
      <c r="G214" s="545" t="s">
        <v>450</v>
      </c>
      <c r="H214" s="546">
        <f t="shared" si="100"/>
        <v>525685.6799999997</v>
      </c>
      <c r="I214" s="546">
        <f t="shared" si="101"/>
        <v>2708273.249999998</v>
      </c>
      <c r="J214" s="547">
        <f t="shared" si="102"/>
        <v>-1362852.9899999984</v>
      </c>
      <c r="K214" s="548">
        <f t="shared" si="103"/>
        <v>2571745.1900000013</v>
      </c>
      <c r="L214" s="549">
        <f t="shared" si="104"/>
        <v>-377516.61000000313</v>
      </c>
      <c r="M214" s="549">
        <f t="shared" si="104"/>
        <v>83546.15000000224</v>
      </c>
      <c r="N214" s="549">
        <f t="shared" si="104"/>
        <v>582620.3000000007</v>
      </c>
      <c r="O214" s="549">
        <f t="shared" si="104"/>
        <v>762323.8200000003</v>
      </c>
      <c r="P214" s="549">
        <f t="shared" si="104"/>
        <v>794016.7699999996</v>
      </c>
      <c r="Q214" s="549">
        <f t="shared" si="104"/>
        <v>776977.4399999976</v>
      </c>
      <c r="R214" s="549">
        <f t="shared" si="104"/>
        <v>881256.5400000028</v>
      </c>
      <c r="S214" s="549">
        <f t="shared" si="104"/>
      </c>
      <c r="T214" s="549">
        <f t="shared" si="104"/>
      </c>
      <c r="U214" s="549">
        <f t="shared" si="104"/>
      </c>
      <c r="V214" s="549">
        <f t="shared" si="104"/>
      </c>
      <c r="W214" s="549">
        <f t="shared" si="104"/>
      </c>
      <c r="X214" s="549">
        <f t="shared" si="104"/>
      </c>
      <c r="Y214" s="549">
        <f t="shared" si="104"/>
      </c>
      <c r="Z214" s="549">
        <f t="shared" si="104"/>
      </c>
      <c r="AA214" s="549">
        <f t="shared" si="104"/>
      </c>
      <c r="AB214" s="549">
        <f t="shared" si="104"/>
      </c>
      <c r="AC214" s="549">
        <f t="shared" si="104"/>
      </c>
      <c r="AD214" s="549">
        <f t="shared" si="104"/>
      </c>
      <c r="AE214" s="549">
        <f t="shared" si="104"/>
      </c>
      <c r="AF214" s="549">
        <f t="shared" si="104"/>
      </c>
      <c r="AG214" s="549">
        <f t="shared" si="104"/>
      </c>
      <c r="AH214" s="549">
        <f t="shared" si="104"/>
      </c>
      <c r="AI214" s="549">
        <f t="shared" si="104"/>
      </c>
      <c r="AJ214" s="549">
        <f t="shared" si="104"/>
      </c>
      <c r="AK214" s="549">
        <f t="shared" si="104"/>
      </c>
      <c r="AL214" s="549">
        <f t="shared" si="104"/>
      </c>
      <c r="AM214" s="549">
        <f t="shared" si="104"/>
      </c>
      <c r="AN214" s="550">
        <f t="shared" si="104"/>
      </c>
    </row>
    <row r="215" spans="6:40" ht="24" outlineLevel="2">
      <c r="F215" s="228" t="s">
        <v>43</v>
      </c>
      <c r="G215" s="551" t="s">
        <v>450</v>
      </c>
      <c r="H215" s="552">
        <f t="shared" si="100"/>
        <v>514608.1799999997</v>
      </c>
      <c r="I215" s="552">
        <f t="shared" si="101"/>
        <v>2583513.2799999956</v>
      </c>
      <c r="J215" s="553">
        <f t="shared" si="102"/>
        <v>-1348083.679999996</v>
      </c>
      <c r="K215" s="548">
        <f t="shared" si="103"/>
        <v>2858979.3900000006</v>
      </c>
      <c r="L215" s="549">
        <f t="shared" si="104"/>
        <v>-677505.9000000022</v>
      </c>
      <c r="M215" s="549">
        <f t="shared" si="104"/>
        <v>226113.6400000006</v>
      </c>
      <c r="N215" s="549">
        <f t="shared" si="104"/>
        <v>756842.1000000015</v>
      </c>
      <c r="O215" s="549">
        <f t="shared" si="104"/>
        <v>762323.8200000003</v>
      </c>
      <c r="P215" s="549">
        <f t="shared" si="104"/>
        <v>794016.7699999996</v>
      </c>
      <c r="Q215" s="549">
        <f t="shared" si="104"/>
        <v>776977.4399999976</v>
      </c>
      <c r="R215" s="549">
        <f t="shared" si="104"/>
        <v>881256.5400000028</v>
      </c>
      <c r="S215" s="549">
        <f t="shared" si="104"/>
      </c>
      <c r="T215" s="549">
        <f t="shared" si="104"/>
      </c>
      <c r="U215" s="549">
        <f t="shared" si="104"/>
      </c>
      <c r="V215" s="549">
        <f t="shared" si="104"/>
      </c>
      <c r="W215" s="549">
        <f t="shared" si="104"/>
      </c>
      <c r="X215" s="549">
        <f t="shared" si="104"/>
      </c>
      <c r="Y215" s="549">
        <f t="shared" si="104"/>
      </c>
      <c r="Z215" s="549">
        <f t="shared" si="104"/>
      </c>
      <c r="AA215" s="549">
        <f t="shared" si="104"/>
      </c>
      <c r="AB215" s="549">
        <f t="shared" si="104"/>
      </c>
      <c r="AC215" s="549">
        <f t="shared" si="104"/>
      </c>
      <c r="AD215" s="549">
        <f t="shared" si="104"/>
      </c>
      <c r="AE215" s="549">
        <f t="shared" si="104"/>
      </c>
      <c r="AF215" s="549">
        <f t="shared" si="104"/>
      </c>
      <c r="AG215" s="549">
        <f t="shared" si="104"/>
      </c>
      <c r="AH215" s="549">
        <f t="shared" si="104"/>
      </c>
      <c r="AI215" s="549">
        <f t="shared" si="104"/>
      </c>
      <c r="AJ215" s="549">
        <f t="shared" si="104"/>
      </c>
      <c r="AK215" s="549">
        <f t="shared" si="104"/>
      </c>
      <c r="AL215" s="549">
        <f t="shared" si="104"/>
      </c>
      <c r="AM215" s="549">
        <f t="shared" si="104"/>
      </c>
      <c r="AN215" s="550">
        <f t="shared" si="104"/>
      </c>
    </row>
    <row r="216" spans="6:40" ht="24" outlineLevel="2">
      <c r="F216" s="228" t="s">
        <v>42</v>
      </c>
      <c r="G216" s="551" t="s">
        <v>450</v>
      </c>
      <c r="H216" s="552">
        <f t="shared" si="100"/>
        <v>448874.9000000004</v>
      </c>
      <c r="I216" s="552">
        <f t="shared" si="101"/>
        <v>1155722.13</v>
      </c>
      <c r="J216" s="553">
        <f t="shared" si="102"/>
        <v>-294915.1699999999</v>
      </c>
      <c r="K216" s="548">
        <f t="shared" si="103"/>
        <v>443619.1699999999</v>
      </c>
      <c r="L216" s="549">
        <f t="shared" si="104"/>
        <v>260183.48000000045</v>
      </c>
      <c r="M216" s="549">
        <f t="shared" si="104"/>
        <v>292200.16000000015</v>
      </c>
      <c r="N216" s="549">
        <f t="shared" si="104"/>
        <v>401288.2299999986</v>
      </c>
      <c r="O216" s="549">
        <f t="shared" si="104"/>
        <v>417339.75</v>
      </c>
      <c r="P216" s="549">
        <f t="shared" si="104"/>
        <v>434033.3500000015</v>
      </c>
      <c r="Q216" s="549">
        <f t="shared" si="104"/>
        <v>451394.6799999997</v>
      </c>
      <c r="R216" s="549">
        <f t="shared" si="104"/>
        <v>469450.45999999903</v>
      </c>
      <c r="S216" s="549">
        <f t="shared" si="104"/>
      </c>
      <c r="T216" s="549">
        <f t="shared" si="104"/>
      </c>
      <c r="U216" s="549">
        <f t="shared" si="104"/>
      </c>
      <c r="V216" s="549">
        <f t="shared" si="104"/>
      </c>
      <c r="W216" s="549">
        <f t="shared" si="104"/>
      </c>
      <c r="X216" s="549">
        <f t="shared" si="104"/>
      </c>
      <c r="Y216" s="549">
        <f t="shared" si="104"/>
      </c>
      <c r="Z216" s="549">
        <f t="shared" si="104"/>
      </c>
      <c r="AA216" s="549">
        <f t="shared" si="104"/>
      </c>
      <c r="AB216" s="549">
        <f t="shared" si="104"/>
      </c>
      <c r="AC216" s="549">
        <f t="shared" si="104"/>
      </c>
      <c r="AD216" s="549">
        <f t="shared" si="104"/>
      </c>
      <c r="AE216" s="549">
        <f t="shared" si="104"/>
      </c>
      <c r="AF216" s="549">
        <f t="shared" si="104"/>
      </c>
      <c r="AG216" s="549">
        <f t="shared" si="104"/>
      </c>
      <c r="AH216" s="549">
        <f t="shared" si="104"/>
      </c>
      <c r="AI216" s="549">
        <f t="shared" si="104"/>
      </c>
      <c r="AJ216" s="549">
        <f t="shared" si="104"/>
      </c>
      <c r="AK216" s="549">
        <f t="shared" si="104"/>
      </c>
      <c r="AL216" s="549">
        <f t="shared" si="104"/>
      </c>
      <c r="AM216" s="549">
        <f t="shared" si="104"/>
      </c>
      <c r="AN216" s="550">
        <f t="shared" si="104"/>
      </c>
    </row>
    <row r="217" spans="6:40" ht="48" outlineLevel="2">
      <c r="F217" s="229" t="s">
        <v>412</v>
      </c>
      <c r="G217" s="554" t="s">
        <v>450</v>
      </c>
      <c r="H217" s="555">
        <f t="shared" si="100"/>
        <v>-277913.9799999995</v>
      </c>
      <c r="I217" s="555">
        <f t="shared" si="101"/>
        <v>3577556.4499999974</v>
      </c>
      <c r="J217" s="556">
        <f t="shared" si="102"/>
        <v>-3230286.349999997</v>
      </c>
      <c r="K217" s="557">
        <f t="shared" si="103"/>
        <v>1792068.5499999998</v>
      </c>
      <c r="L217" s="558">
        <f t="shared" si="104"/>
        <v>-602500.9600000037</v>
      </c>
      <c r="M217" s="558">
        <f t="shared" si="104"/>
        <v>-178812.48999999743</v>
      </c>
      <c r="N217" s="558">
        <f t="shared" si="104"/>
        <v>99597.45000000112</v>
      </c>
      <c r="O217" s="558">
        <f t="shared" si="104"/>
        <v>269180.0700000003</v>
      </c>
      <c r="P217" s="558">
        <f t="shared" si="104"/>
        <v>279947.2699999986</v>
      </c>
      <c r="Q217" s="558">
        <f t="shared" si="104"/>
        <v>291145.1499999976</v>
      </c>
      <c r="R217" s="558">
        <f t="shared" si="104"/>
        <v>302790.9700000044</v>
      </c>
      <c r="S217" s="558">
        <f t="shared" si="104"/>
      </c>
      <c r="T217" s="558">
        <f t="shared" si="104"/>
      </c>
      <c r="U217" s="558">
        <f t="shared" si="104"/>
      </c>
      <c r="V217" s="558">
        <f t="shared" si="104"/>
      </c>
      <c r="W217" s="558">
        <f t="shared" si="104"/>
      </c>
      <c r="X217" s="558">
        <f t="shared" si="104"/>
      </c>
      <c r="Y217" s="558">
        <f t="shared" si="104"/>
      </c>
      <c r="Z217" s="558">
        <f t="shared" si="104"/>
      </c>
      <c r="AA217" s="558">
        <f t="shared" si="104"/>
      </c>
      <c r="AB217" s="558">
        <f t="shared" si="104"/>
      </c>
      <c r="AC217" s="558">
        <f t="shared" si="104"/>
      </c>
      <c r="AD217" s="558">
        <f t="shared" si="104"/>
      </c>
      <c r="AE217" s="558">
        <f t="shared" si="104"/>
      </c>
      <c r="AF217" s="558">
        <f t="shared" si="104"/>
      </c>
      <c r="AG217" s="558">
        <f t="shared" si="104"/>
      </c>
      <c r="AH217" s="558">
        <f t="shared" si="104"/>
      </c>
      <c r="AI217" s="558">
        <f t="shared" si="104"/>
      </c>
      <c r="AJ217" s="558">
        <f t="shared" si="104"/>
      </c>
      <c r="AK217" s="558">
        <f t="shared" si="104"/>
      </c>
      <c r="AL217" s="558">
        <f t="shared" si="104"/>
      </c>
      <c r="AM217" s="558">
        <f t="shared" si="104"/>
      </c>
      <c r="AN217" s="559">
        <f t="shared" si="104"/>
      </c>
    </row>
    <row r="218" spans="6:40" ht="14.25" outlineLevel="1">
      <c r="F218" s="422" t="s">
        <v>464</v>
      </c>
      <c r="G218" s="485"/>
      <c r="H218" s="485"/>
      <c r="I218" s="485"/>
      <c r="J218" s="485"/>
      <c r="K218" s="489"/>
      <c r="L218" s="489"/>
      <c r="M218" s="489"/>
      <c r="N218" s="489"/>
      <c r="O218" s="489"/>
      <c r="P218" s="489"/>
      <c r="Q218" s="489"/>
      <c r="R218" s="489"/>
      <c r="S218" s="489"/>
      <c r="T218" s="489"/>
      <c r="U218" s="489"/>
      <c r="V218" s="489"/>
      <c r="W218" s="489"/>
      <c r="X218" s="489"/>
      <c r="Y218" s="489"/>
      <c r="Z218" s="489"/>
      <c r="AA218" s="489"/>
      <c r="AB218" s="489"/>
      <c r="AC218" s="489"/>
      <c r="AD218" s="489"/>
      <c r="AE218" s="489"/>
      <c r="AF218" s="489"/>
      <c r="AG218" s="489"/>
      <c r="AH218" s="489"/>
      <c r="AI218" s="489"/>
      <c r="AJ218" s="489"/>
      <c r="AK218" s="489"/>
      <c r="AL218" s="489"/>
      <c r="AM218" s="489"/>
      <c r="AN218" s="489"/>
    </row>
    <row r="219" spans="1:40" s="387" customFormat="1" ht="15" customHeight="1" outlineLevel="2">
      <c r="A219" s="386"/>
      <c r="B219" s="386"/>
      <c r="C219" s="386"/>
      <c r="D219" s="386"/>
      <c r="E219" s="386"/>
      <c r="F219" s="226" t="s">
        <v>26</v>
      </c>
      <c r="G219" s="560">
        <f>+G10</f>
        <v>17384905.11</v>
      </c>
      <c r="H219" s="561">
        <f>+H10</f>
        <v>17642423.29</v>
      </c>
      <c r="I219" s="561">
        <f>+I10</f>
        <v>19217578.4</v>
      </c>
      <c r="J219" s="562">
        <f>+J10</f>
        <v>19501354.62</v>
      </c>
      <c r="K219" s="542">
        <f aca="true" t="shared" si="106" ref="K219:AM219">+K10</f>
        <v>21004624.6</v>
      </c>
      <c r="L219" s="543">
        <f t="shared" si="106"/>
        <v>20979227.29</v>
      </c>
      <c r="M219" s="543">
        <f t="shared" si="106"/>
        <v>21600990.4</v>
      </c>
      <c r="N219" s="543">
        <f t="shared" si="106"/>
        <v>22266819.55</v>
      </c>
      <c r="O219" s="543">
        <f t="shared" si="106"/>
        <v>23114445.51</v>
      </c>
      <c r="P219" s="543">
        <f t="shared" si="106"/>
        <v>24015908.89</v>
      </c>
      <c r="Q219" s="543">
        <f t="shared" si="106"/>
        <v>24952529.34</v>
      </c>
      <c r="R219" s="543">
        <f t="shared" si="106"/>
        <v>25925677.98</v>
      </c>
      <c r="S219" s="543">
        <f t="shared" si="106"/>
        <v>0</v>
      </c>
      <c r="T219" s="543">
        <f t="shared" si="106"/>
        <v>0</v>
      </c>
      <c r="U219" s="543">
        <f t="shared" si="106"/>
        <v>0</v>
      </c>
      <c r="V219" s="543">
        <f t="shared" si="106"/>
        <v>0</v>
      </c>
      <c r="W219" s="543">
        <f t="shared" si="106"/>
        <v>0</v>
      </c>
      <c r="X219" s="543">
        <f t="shared" si="106"/>
        <v>0</v>
      </c>
      <c r="Y219" s="543">
        <f t="shared" si="106"/>
        <v>0</v>
      </c>
      <c r="Z219" s="543">
        <f t="shared" si="106"/>
        <v>0</v>
      </c>
      <c r="AA219" s="543">
        <f t="shared" si="106"/>
        <v>0</v>
      </c>
      <c r="AB219" s="543">
        <f t="shared" si="106"/>
        <v>0</v>
      </c>
      <c r="AC219" s="543">
        <f t="shared" si="106"/>
        <v>0</v>
      </c>
      <c r="AD219" s="543">
        <f t="shared" si="106"/>
        <v>0</v>
      </c>
      <c r="AE219" s="543">
        <f t="shared" si="106"/>
        <v>0</v>
      </c>
      <c r="AF219" s="543">
        <f t="shared" si="106"/>
        <v>0</v>
      </c>
      <c r="AG219" s="543">
        <f t="shared" si="106"/>
        <v>0</v>
      </c>
      <c r="AH219" s="543">
        <f t="shared" si="106"/>
        <v>0</v>
      </c>
      <c r="AI219" s="543">
        <f t="shared" si="106"/>
        <v>0</v>
      </c>
      <c r="AJ219" s="543">
        <f t="shared" si="106"/>
        <v>0</v>
      </c>
      <c r="AK219" s="543">
        <f t="shared" si="106"/>
        <v>0</v>
      </c>
      <c r="AL219" s="543">
        <f t="shared" si="106"/>
        <v>0</v>
      </c>
      <c r="AM219" s="543">
        <f t="shared" si="106"/>
        <v>0</v>
      </c>
      <c r="AN219" s="544">
        <f>+AN10</f>
        <v>0</v>
      </c>
    </row>
    <row r="220" spans="6:40" ht="15" customHeight="1" outlineLevel="2">
      <c r="F220" s="227" t="s">
        <v>414</v>
      </c>
      <c r="G220" s="563">
        <f>+(G10-G77-G80)</f>
        <v>17274813.43</v>
      </c>
      <c r="H220" s="564">
        <f>+(H10-H77-H80)</f>
        <v>17286410.599999998</v>
      </c>
      <c r="I220" s="564">
        <f>+(I10-I77-I80)</f>
        <v>18477347</v>
      </c>
      <c r="J220" s="565">
        <f>+(J10-J77-J80)</f>
        <v>18794900.46</v>
      </c>
      <c r="K220" s="548">
        <f>+(K10-K77-K80)</f>
        <v>20264460.810000002</v>
      </c>
      <c r="L220" s="549">
        <f aca="true" t="shared" si="107" ref="L220:AN220">+(L10-L77-L80)</f>
        <v>20737699.11</v>
      </c>
      <c r="M220" s="549">
        <f t="shared" si="107"/>
        <v>21441760.88</v>
      </c>
      <c r="N220" s="549">
        <f t="shared" si="107"/>
        <v>22266819.55</v>
      </c>
      <c r="O220" s="549">
        <f t="shared" si="107"/>
        <v>23114445.51</v>
      </c>
      <c r="P220" s="549">
        <f t="shared" si="107"/>
        <v>24015908.89</v>
      </c>
      <c r="Q220" s="549">
        <f t="shared" si="107"/>
        <v>24952529.34</v>
      </c>
      <c r="R220" s="549">
        <f t="shared" si="107"/>
        <v>25925677.98</v>
      </c>
      <c r="S220" s="549">
        <f t="shared" si="107"/>
        <v>0</v>
      </c>
      <c r="T220" s="549">
        <f t="shared" si="107"/>
        <v>0</v>
      </c>
      <c r="U220" s="549">
        <f t="shared" si="107"/>
        <v>0</v>
      </c>
      <c r="V220" s="549">
        <f t="shared" si="107"/>
        <v>0</v>
      </c>
      <c r="W220" s="549">
        <f t="shared" si="107"/>
        <v>0</v>
      </c>
      <c r="X220" s="549">
        <f t="shared" si="107"/>
        <v>0</v>
      </c>
      <c r="Y220" s="549">
        <f t="shared" si="107"/>
        <v>0</v>
      </c>
      <c r="Z220" s="549">
        <f t="shared" si="107"/>
        <v>0</v>
      </c>
      <c r="AA220" s="549">
        <f t="shared" si="107"/>
        <v>0</v>
      </c>
      <c r="AB220" s="549">
        <f t="shared" si="107"/>
        <v>0</v>
      </c>
      <c r="AC220" s="549">
        <f t="shared" si="107"/>
        <v>0</v>
      </c>
      <c r="AD220" s="549">
        <f t="shared" si="107"/>
        <v>0</v>
      </c>
      <c r="AE220" s="549">
        <f t="shared" si="107"/>
        <v>0</v>
      </c>
      <c r="AF220" s="549">
        <f t="shared" si="107"/>
        <v>0</v>
      </c>
      <c r="AG220" s="549">
        <f t="shared" si="107"/>
        <v>0</v>
      </c>
      <c r="AH220" s="549">
        <f t="shared" si="107"/>
        <v>0</v>
      </c>
      <c r="AI220" s="549">
        <f t="shared" si="107"/>
        <v>0</v>
      </c>
      <c r="AJ220" s="549">
        <f t="shared" si="107"/>
        <v>0</v>
      </c>
      <c r="AK220" s="549">
        <f t="shared" si="107"/>
        <v>0</v>
      </c>
      <c r="AL220" s="549">
        <f t="shared" si="107"/>
        <v>0</v>
      </c>
      <c r="AM220" s="549">
        <f t="shared" si="107"/>
        <v>0</v>
      </c>
      <c r="AN220" s="550">
        <f t="shared" si="107"/>
        <v>0</v>
      </c>
    </row>
    <row r="221" spans="6:40" ht="15" customHeight="1" outlineLevel="2">
      <c r="F221" s="228" t="s">
        <v>415</v>
      </c>
      <c r="G221" s="563">
        <f>+G11-G77</f>
        <v>16272785.61</v>
      </c>
      <c r="H221" s="564">
        <f>+H11-H77</f>
        <v>17271928.58</v>
      </c>
      <c r="I221" s="564">
        <f>+I11-I77</f>
        <v>18342347</v>
      </c>
      <c r="J221" s="565">
        <f>+J11-J77</f>
        <v>18762900.46</v>
      </c>
      <c r="K221" s="548">
        <f>+K11-K77</f>
        <v>20202460.810000002</v>
      </c>
      <c r="L221" s="549">
        <f aca="true" t="shared" si="108" ref="L221:AN221">+L11-L77</f>
        <v>20707699.11</v>
      </c>
      <c r="M221" s="549">
        <f t="shared" si="108"/>
        <v>21411760.88</v>
      </c>
      <c r="N221" s="549">
        <f t="shared" si="108"/>
        <v>22246819.55</v>
      </c>
      <c r="O221" s="549">
        <f t="shared" si="108"/>
        <v>23114445.51</v>
      </c>
      <c r="P221" s="549">
        <f t="shared" si="108"/>
        <v>24015908.89</v>
      </c>
      <c r="Q221" s="549">
        <f t="shared" si="108"/>
        <v>24952529.34</v>
      </c>
      <c r="R221" s="549">
        <f t="shared" si="108"/>
        <v>25925677.98</v>
      </c>
      <c r="S221" s="549">
        <f t="shared" si="108"/>
        <v>0</v>
      </c>
      <c r="T221" s="549">
        <f t="shared" si="108"/>
        <v>0</v>
      </c>
      <c r="U221" s="549">
        <f t="shared" si="108"/>
        <v>0</v>
      </c>
      <c r="V221" s="549">
        <f t="shared" si="108"/>
        <v>0</v>
      </c>
      <c r="W221" s="549">
        <f t="shared" si="108"/>
        <v>0</v>
      </c>
      <c r="X221" s="549">
        <f t="shared" si="108"/>
        <v>0</v>
      </c>
      <c r="Y221" s="549">
        <f t="shared" si="108"/>
        <v>0</v>
      </c>
      <c r="Z221" s="549">
        <f t="shared" si="108"/>
        <v>0</v>
      </c>
      <c r="AA221" s="549">
        <f t="shared" si="108"/>
        <v>0</v>
      </c>
      <c r="AB221" s="549">
        <f t="shared" si="108"/>
        <v>0</v>
      </c>
      <c r="AC221" s="549">
        <f t="shared" si="108"/>
        <v>0</v>
      </c>
      <c r="AD221" s="549">
        <f t="shared" si="108"/>
        <v>0</v>
      </c>
      <c r="AE221" s="549">
        <f t="shared" si="108"/>
        <v>0</v>
      </c>
      <c r="AF221" s="549">
        <f t="shared" si="108"/>
        <v>0</v>
      </c>
      <c r="AG221" s="549">
        <f t="shared" si="108"/>
        <v>0</v>
      </c>
      <c r="AH221" s="549">
        <f t="shared" si="108"/>
        <v>0</v>
      </c>
      <c r="AI221" s="549">
        <f t="shared" si="108"/>
        <v>0</v>
      </c>
      <c r="AJ221" s="549">
        <f t="shared" si="108"/>
        <v>0</v>
      </c>
      <c r="AK221" s="549">
        <f t="shared" si="108"/>
        <v>0</v>
      </c>
      <c r="AL221" s="549">
        <f t="shared" si="108"/>
        <v>0</v>
      </c>
      <c r="AM221" s="549">
        <f t="shared" si="108"/>
        <v>0</v>
      </c>
      <c r="AN221" s="550">
        <f t="shared" si="108"/>
        <v>0</v>
      </c>
    </row>
    <row r="222" spans="6:40" ht="15" customHeight="1" outlineLevel="2">
      <c r="F222" s="228" t="s">
        <v>416</v>
      </c>
      <c r="G222" s="563">
        <f>+G18-G80</f>
        <v>1002027.82</v>
      </c>
      <c r="H222" s="564">
        <f>+H18-H80</f>
        <v>14482.01999999999</v>
      </c>
      <c r="I222" s="564">
        <f>+I18-I80</f>
        <v>135000</v>
      </c>
      <c r="J222" s="565">
        <f>+J18-J80</f>
        <v>32000</v>
      </c>
      <c r="K222" s="548">
        <f>+K18-K80</f>
        <v>62000</v>
      </c>
      <c r="L222" s="549">
        <f aca="true" t="shared" si="109" ref="L222:AN222">+L18-L80</f>
        <v>30000</v>
      </c>
      <c r="M222" s="549">
        <f t="shared" si="109"/>
        <v>30000</v>
      </c>
      <c r="N222" s="549">
        <f t="shared" si="109"/>
        <v>20000</v>
      </c>
      <c r="O222" s="549">
        <f t="shared" si="109"/>
        <v>0</v>
      </c>
      <c r="P222" s="549">
        <f t="shared" si="109"/>
        <v>0</v>
      </c>
      <c r="Q222" s="549">
        <f t="shared" si="109"/>
        <v>0</v>
      </c>
      <c r="R222" s="549">
        <f t="shared" si="109"/>
        <v>0</v>
      </c>
      <c r="S222" s="549">
        <f t="shared" si="109"/>
        <v>0</v>
      </c>
      <c r="T222" s="549">
        <f t="shared" si="109"/>
        <v>0</v>
      </c>
      <c r="U222" s="549">
        <f t="shared" si="109"/>
        <v>0</v>
      </c>
      <c r="V222" s="549">
        <f t="shared" si="109"/>
        <v>0</v>
      </c>
      <c r="W222" s="549">
        <f t="shared" si="109"/>
        <v>0</v>
      </c>
      <c r="X222" s="549">
        <f t="shared" si="109"/>
        <v>0</v>
      </c>
      <c r="Y222" s="549">
        <f t="shared" si="109"/>
        <v>0</v>
      </c>
      <c r="Z222" s="549">
        <f t="shared" si="109"/>
        <v>0</v>
      </c>
      <c r="AA222" s="549">
        <f t="shared" si="109"/>
        <v>0</v>
      </c>
      <c r="AB222" s="549">
        <f t="shared" si="109"/>
        <v>0</v>
      </c>
      <c r="AC222" s="549">
        <f t="shared" si="109"/>
        <v>0</v>
      </c>
      <c r="AD222" s="549">
        <f t="shared" si="109"/>
        <v>0</v>
      </c>
      <c r="AE222" s="549">
        <f t="shared" si="109"/>
        <v>0</v>
      </c>
      <c r="AF222" s="549">
        <f t="shared" si="109"/>
        <v>0</v>
      </c>
      <c r="AG222" s="549">
        <f t="shared" si="109"/>
        <v>0</v>
      </c>
      <c r="AH222" s="549">
        <f t="shared" si="109"/>
        <v>0</v>
      </c>
      <c r="AI222" s="549">
        <f t="shared" si="109"/>
        <v>0</v>
      </c>
      <c r="AJ222" s="549">
        <f t="shared" si="109"/>
        <v>0</v>
      </c>
      <c r="AK222" s="549">
        <f t="shared" si="109"/>
        <v>0</v>
      </c>
      <c r="AL222" s="549">
        <f t="shared" si="109"/>
        <v>0</v>
      </c>
      <c r="AM222" s="549">
        <f t="shared" si="109"/>
        <v>0</v>
      </c>
      <c r="AN222" s="550">
        <f t="shared" si="109"/>
        <v>0</v>
      </c>
    </row>
    <row r="223" spans="6:40" ht="24" outlineLevel="2">
      <c r="F223" s="228" t="s">
        <v>417</v>
      </c>
      <c r="G223" s="563">
        <f>+G18-G80-G19</f>
        <v>949639.7999999999</v>
      </c>
      <c r="H223" s="564">
        <f>+H18-H80-H19</f>
        <v>0</v>
      </c>
      <c r="I223" s="564">
        <f>+I18-I80-I19</f>
        <v>0</v>
      </c>
      <c r="J223" s="565">
        <f>+J18-J80-J19</f>
        <v>32000</v>
      </c>
      <c r="K223" s="548">
        <f>+K18-K80-K19</f>
        <v>17000</v>
      </c>
      <c r="L223" s="549">
        <f aca="true" t="shared" si="110" ref="L223:AN223">+L18-L80-L19</f>
        <v>30000</v>
      </c>
      <c r="M223" s="549">
        <f t="shared" si="110"/>
        <v>30000</v>
      </c>
      <c r="N223" s="549">
        <f t="shared" si="110"/>
        <v>20000</v>
      </c>
      <c r="O223" s="549">
        <f t="shared" si="110"/>
        <v>0</v>
      </c>
      <c r="P223" s="549">
        <f t="shared" si="110"/>
        <v>0</v>
      </c>
      <c r="Q223" s="549">
        <f t="shared" si="110"/>
        <v>0</v>
      </c>
      <c r="R223" s="549">
        <f t="shared" si="110"/>
        <v>0</v>
      </c>
      <c r="S223" s="549">
        <f t="shared" si="110"/>
        <v>0</v>
      </c>
      <c r="T223" s="549">
        <f t="shared" si="110"/>
        <v>0</v>
      </c>
      <c r="U223" s="549">
        <f t="shared" si="110"/>
        <v>0</v>
      </c>
      <c r="V223" s="549">
        <f t="shared" si="110"/>
        <v>0</v>
      </c>
      <c r="W223" s="549">
        <f t="shared" si="110"/>
        <v>0</v>
      </c>
      <c r="X223" s="549">
        <f t="shared" si="110"/>
        <v>0</v>
      </c>
      <c r="Y223" s="549">
        <f t="shared" si="110"/>
        <v>0</v>
      </c>
      <c r="Z223" s="549">
        <f t="shared" si="110"/>
        <v>0</v>
      </c>
      <c r="AA223" s="549">
        <f t="shared" si="110"/>
        <v>0</v>
      </c>
      <c r="AB223" s="549">
        <f t="shared" si="110"/>
        <v>0</v>
      </c>
      <c r="AC223" s="549">
        <f t="shared" si="110"/>
        <v>0</v>
      </c>
      <c r="AD223" s="549">
        <f t="shared" si="110"/>
        <v>0</v>
      </c>
      <c r="AE223" s="549">
        <f t="shared" si="110"/>
        <v>0</v>
      </c>
      <c r="AF223" s="549">
        <f t="shared" si="110"/>
        <v>0</v>
      </c>
      <c r="AG223" s="549">
        <f t="shared" si="110"/>
        <v>0</v>
      </c>
      <c r="AH223" s="549">
        <f t="shared" si="110"/>
        <v>0</v>
      </c>
      <c r="AI223" s="549">
        <f t="shared" si="110"/>
        <v>0</v>
      </c>
      <c r="AJ223" s="549">
        <f t="shared" si="110"/>
        <v>0</v>
      </c>
      <c r="AK223" s="549">
        <f t="shared" si="110"/>
        <v>0</v>
      </c>
      <c r="AL223" s="549">
        <f t="shared" si="110"/>
        <v>0</v>
      </c>
      <c r="AM223" s="549">
        <f t="shared" si="110"/>
        <v>0</v>
      </c>
      <c r="AN223" s="550">
        <f t="shared" si="110"/>
        <v>0</v>
      </c>
    </row>
    <row r="224" spans="6:40" ht="15" customHeight="1" outlineLevel="2">
      <c r="F224" s="229" t="s">
        <v>40</v>
      </c>
      <c r="G224" s="566">
        <f>+G19</f>
        <v>52388.02</v>
      </c>
      <c r="H224" s="567">
        <f>+H19</f>
        <v>14482.02</v>
      </c>
      <c r="I224" s="567">
        <f>+I19</f>
        <v>135000</v>
      </c>
      <c r="J224" s="568">
        <f>+J19</f>
        <v>0</v>
      </c>
      <c r="K224" s="557">
        <f>+K19</f>
        <v>45000</v>
      </c>
      <c r="L224" s="558">
        <f aca="true" t="shared" si="111" ref="L224:AN224">+L19</f>
        <v>0</v>
      </c>
      <c r="M224" s="558">
        <f t="shared" si="111"/>
        <v>0</v>
      </c>
      <c r="N224" s="558">
        <f t="shared" si="111"/>
        <v>0</v>
      </c>
      <c r="O224" s="558">
        <f t="shared" si="111"/>
        <v>0</v>
      </c>
      <c r="P224" s="558">
        <f t="shared" si="111"/>
        <v>0</v>
      </c>
      <c r="Q224" s="558">
        <f t="shared" si="111"/>
        <v>0</v>
      </c>
      <c r="R224" s="558">
        <f t="shared" si="111"/>
        <v>0</v>
      </c>
      <c r="S224" s="558">
        <f t="shared" si="111"/>
        <v>0</v>
      </c>
      <c r="T224" s="558">
        <f t="shared" si="111"/>
        <v>0</v>
      </c>
      <c r="U224" s="558">
        <f t="shared" si="111"/>
        <v>0</v>
      </c>
      <c r="V224" s="558">
        <f t="shared" si="111"/>
        <v>0</v>
      </c>
      <c r="W224" s="558">
        <f t="shared" si="111"/>
        <v>0</v>
      </c>
      <c r="X224" s="558">
        <f t="shared" si="111"/>
        <v>0</v>
      </c>
      <c r="Y224" s="558">
        <f t="shared" si="111"/>
        <v>0</v>
      </c>
      <c r="Z224" s="558">
        <f t="shared" si="111"/>
        <v>0</v>
      </c>
      <c r="AA224" s="558">
        <f t="shared" si="111"/>
        <v>0</v>
      </c>
      <c r="AB224" s="558">
        <f t="shared" si="111"/>
        <v>0</v>
      </c>
      <c r="AC224" s="558">
        <f t="shared" si="111"/>
        <v>0</v>
      </c>
      <c r="AD224" s="558">
        <f t="shared" si="111"/>
        <v>0</v>
      </c>
      <c r="AE224" s="558">
        <f t="shared" si="111"/>
        <v>0</v>
      </c>
      <c r="AF224" s="558">
        <f t="shared" si="111"/>
        <v>0</v>
      </c>
      <c r="AG224" s="558">
        <f t="shared" si="111"/>
        <v>0</v>
      </c>
      <c r="AH224" s="558">
        <f t="shared" si="111"/>
        <v>0</v>
      </c>
      <c r="AI224" s="558">
        <f t="shared" si="111"/>
        <v>0</v>
      </c>
      <c r="AJ224" s="558">
        <f t="shared" si="111"/>
        <v>0</v>
      </c>
      <c r="AK224" s="558">
        <f t="shared" si="111"/>
        <v>0</v>
      </c>
      <c r="AL224" s="558">
        <f t="shared" si="111"/>
        <v>0</v>
      </c>
      <c r="AM224" s="558">
        <f t="shared" si="111"/>
        <v>0</v>
      </c>
      <c r="AN224" s="559">
        <f t="shared" si="111"/>
        <v>0</v>
      </c>
    </row>
    <row r="225" spans="1:40" s="387" customFormat="1" ht="15" outlineLevel="2">
      <c r="A225" s="386"/>
      <c r="B225" s="386"/>
      <c r="C225" s="386"/>
      <c r="D225" s="386"/>
      <c r="E225" s="386"/>
      <c r="F225" s="226" t="s">
        <v>21</v>
      </c>
      <c r="G225" s="560">
        <f>+G21</f>
        <v>18629353.13</v>
      </c>
      <c r="H225" s="561">
        <f>+H21</f>
        <v>17272723.47</v>
      </c>
      <c r="I225" s="561">
        <f>+I21</f>
        <v>20320503.4</v>
      </c>
      <c r="J225" s="562">
        <f>+J21</f>
        <v>18374916.42</v>
      </c>
      <c r="K225" s="542">
        <f>+K21</f>
        <v>22293445.6</v>
      </c>
      <c r="L225" s="543">
        <f aca="true" t="shared" si="112" ref="L225:AN225">+L21</f>
        <v>20771928.99</v>
      </c>
      <c r="M225" s="543">
        <f t="shared" si="112"/>
        <v>20774990.400000002</v>
      </c>
      <c r="N225" s="543">
        <f t="shared" si="112"/>
        <v>21216819.55</v>
      </c>
      <c r="O225" s="543">
        <f t="shared" si="112"/>
        <v>21964445.51</v>
      </c>
      <c r="P225" s="543">
        <f t="shared" si="112"/>
        <v>22891987.89</v>
      </c>
      <c r="Q225" s="543">
        <f t="shared" si="112"/>
        <v>23952529.34</v>
      </c>
      <c r="R225" s="543">
        <f t="shared" si="112"/>
        <v>25676181.520000003</v>
      </c>
      <c r="S225" s="543">
        <f t="shared" si="112"/>
        <v>0</v>
      </c>
      <c r="T225" s="543">
        <f t="shared" si="112"/>
        <v>0</v>
      </c>
      <c r="U225" s="543">
        <f t="shared" si="112"/>
        <v>0</v>
      </c>
      <c r="V225" s="543">
        <f t="shared" si="112"/>
        <v>0</v>
      </c>
      <c r="W225" s="543">
        <f t="shared" si="112"/>
        <v>0</v>
      </c>
      <c r="X225" s="543">
        <f t="shared" si="112"/>
        <v>0</v>
      </c>
      <c r="Y225" s="543">
        <f t="shared" si="112"/>
        <v>0</v>
      </c>
      <c r="Z225" s="543">
        <f t="shared" si="112"/>
        <v>0</v>
      </c>
      <c r="AA225" s="543">
        <f t="shared" si="112"/>
        <v>0</v>
      </c>
      <c r="AB225" s="543">
        <f t="shared" si="112"/>
        <v>0</v>
      </c>
      <c r="AC225" s="543">
        <f t="shared" si="112"/>
        <v>0</v>
      </c>
      <c r="AD225" s="543">
        <f t="shared" si="112"/>
        <v>0</v>
      </c>
      <c r="AE225" s="543">
        <f t="shared" si="112"/>
        <v>0</v>
      </c>
      <c r="AF225" s="543">
        <f t="shared" si="112"/>
        <v>0</v>
      </c>
      <c r="AG225" s="543">
        <f t="shared" si="112"/>
        <v>0</v>
      </c>
      <c r="AH225" s="543">
        <f t="shared" si="112"/>
        <v>0</v>
      </c>
      <c r="AI225" s="543">
        <f t="shared" si="112"/>
        <v>0</v>
      </c>
      <c r="AJ225" s="543">
        <f t="shared" si="112"/>
        <v>0</v>
      </c>
      <c r="AK225" s="543">
        <f t="shared" si="112"/>
        <v>0</v>
      </c>
      <c r="AL225" s="543">
        <f t="shared" si="112"/>
        <v>0</v>
      </c>
      <c r="AM225" s="543">
        <f t="shared" si="112"/>
        <v>0</v>
      </c>
      <c r="AN225" s="544">
        <f t="shared" si="112"/>
        <v>0</v>
      </c>
    </row>
    <row r="226" spans="6:40" ht="24" outlineLevel="2">
      <c r="F226" s="230" t="s">
        <v>413</v>
      </c>
      <c r="G226" s="563">
        <f>+G21-G83-G86</f>
        <v>18236622.22</v>
      </c>
      <c r="H226" s="564">
        <f>+H21-H83-H86</f>
        <v>16793232.68</v>
      </c>
      <c r="I226" s="564">
        <f>+I21-I83-I86</f>
        <v>19442231.839999996</v>
      </c>
      <c r="J226" s="565">
        <f>+J21-J83-J86</f>
        <v>17546000.720000003</v>
      </c>
      <c r="K226" s="548">
        <f>+K21-K83-K86</f>
        <v>22276645.6</v>
      </c>
      <c r="L226" s="549">
        <f aca="true" t="shared" si="113" ref="L226:AN226">+L21-L83-L86</f>
        <v>20455139.7</v>
      </c>
      <c r="M226" s="549">
        <f t="shared" si="113"/>
        <v>20600768.6</v>
      </c>
      <c r="N226" s="549">
        <f t="shared" si="113"/>
        <v>21216819.55</v>
      </c>
      <c r="O226" s="549">
        <f t="shared" si="113"/>
        <v>21964445.51</v>
      </c>
      <c r="P226" s="549">
        <f t="shared" si="113"/>
        <v>22891987.89</v>
      </c>
      <c r="Q226" s="549">
        <f t="shared" si="113"/>
        <v>23952529.34</v>
      </c>
      <c r="R226" s="549">
        <f t="shared" si="113"/>
        <v>25676181.520000003</v>
      </c>
      <c r="S226" s="549">
        <f t="shared" si="113"/>
        <v>0</v>
      </c>
      <c r="T226" s="549">
        <f t="shared" si="113"/>
        <v>0</v>
      </c>
      <c r="U226" s="549">
        <f t="shared" si="113"/>
        <v>0</v>
      </c>
      <c r="V226" s="549">
        <f t="shared" si="113"/>
        <v>0</v>
      </c>
      <c r="W226" s="549">
        <f t="shared" si="113"/>
        <v>0</v>
      </c>
      <c r="X226" s="549">
        <f t="shared" si="113"/>
        <v>0</v>
      </c>
      <c r="Y226" s="549">
        <f t="shared" si="113"/>
        <v>0</v>
      </c>
      <c r="Z226" s="549">
        <f t="shared" si="113"/>
        <v>0</v>
      </c>
      <c r="AA226" s="549">
        <f t="shared" si="113"/>
        <v>0</v>
      </c>
      <c r="AB226" s="549">
        <f t="shared" si="113"/>
        <v>0</v>
      </c>
      <c r="AC226" s="549">
        <f t="shared" si="113"/>
        <v>0</v>
      </c>
      <c r="AD226" s="549">
        <f t="shared" si="113"/>
        <v>0</v>
      </c>
      <c r="AE226" s="549">
        <f t="shared" si="113"/>
        <v>0</v>
      </c>
      <c r="AF226" s="549">
        <f t="shared" si="113"/>
        <v>0</v>
      </c>
      <c r="AG226" s="549">
        <f t="shared" si="113"/>
        <v>0</v>
      </c>
      <c r="AH226" s="549">
        <f t="shared" si="113"/>
        <v>0</v>
      </c>
      <c r="AI226" s="549">
        <f t="shared" si="113"/>
        <v>0</v>
      </c>
      <c r="AJ226" s="549">
        <f t="shared" si="113"/>
        <v>0</v>
      </c>
      <c r="AK226" s="549">
        <f t="shared" si="113"/>
        <v>0</v>
      </c>
      <c r="AL226" s="549">
        <f t="shared" si="113"/>
        <v>0</v>
      </c>
      <c r="AM226" s="549">
        <f t="shared" si="113"/>
        <v>0</v>
      </c>
      <c r="AN226" s="550">
        <f t="shared" si="113"/>
        <v>0</v>
      </c>
    </row>
    <row r="227" spans="1:40" s="387" customFormat="1" ht="15" customHeight="1" outlineLevel="2">
      <c r="A227" s="386"/>
      <c r="B227" s="386"/>
      <c r="C227" s="386"/>
      <c r="D227" s="386"/>
      <c r="E227" s="386"/>
      <c r="F227" s="231" t="s">
        <v>41</v>
      </c>
      <c r="G227" s="569">
        <f>+G22</f>
        <v>15346594.47</v>
      </c>
      <c r="H227" s="570">
        <f>+H22</f>
        <v>15872280.15</v>
      </c>
      <c r="I227" s="570">
        <f>+I22</f>
        <v>18580553.4</v>
      </c>
      <c r="J227" s="571">
        <f>+J22</f>
        <v>17217700.41</v>
      </c>
      <c r="K227" s="572">
        <f>+K22</f>
        <v>19789445.6</v>
      </c>
      <c r="L227" s="573">
        <f aca="true" t="shared" si="114" ref="L227:AN227">+L22</f>
        <v>19411928.99</v>
      </c>
      <c r="M227" s="573">
        <f t="shared" si="114"/>
        <v>19495475.14</v>
      </c>
      <c r="N227" s="573">
        <f t="shared" si="114"/>
        <v>20078095.44</v>
      </c>
      <c r="O227" s="573">
        <f t="shared" si="114"/>
        <v>20840419.26</v>
      </c>
      <c r="P227" s="573">
        <f t="shared" si="114"/>
        <v>21634436.03</v>
      </c>
      <c r="Q227" s="573">
        <f t="shared" si="114"/>
        <v>22411413.47</v>
      </c>
      <c r="R227" s="573">
        <f t="shared" si="114"/>
        <v>23292670.01</v>
      </c>
      <c r="S227" s="573">
        <f t="shared" si="114"/>
        <v>0</v>
      </c>
      <c r="T227" s="573">
        <f t="shared" si="114"/>
        <v>0</v>
      </c>
      <c r="U227" s="573">
        <f t="shared" si="114"/>
        <v>0</v>
      </c>
      <c r="V227" s="573">
        <f t="shared" si="114"/>
        <v>0</v>
      </c>
      <c r="W227" s="573">
        <f t="shared" si="114"/>
        <v>0</v>
      </c>
      <c r="X227" s="573">
        <f t="shared" si="114"/>
        <v>0</v>
      </c>
      <c r="Y227" s="573">
        <f t="shared" si="114"/>
        <v>0</v>
      </c>
      <c r="Z227" s="573">
        <f t="shared" si="114"/>
        <v>0</v>
      </c>
      <c r="AA227" s="573">
        <f t="shared" si="114"/>
        <v>0</v>
      </c>
      <c r="AB227" s="573">
        <f t="shared" si="114"/>
        <v>0</v>
      </c>
      <c r="AC227" s="573">
        <f t="shared" si="114"/>
        <v>0</v>
      </c>
      <c r="AD227" s="573">
        <f t="shared" si="114"/>
        <v>0</v>
      </c>
      <c r="AE227" s="573">
        <f t="shared" si="114"/>
        <v>0</v>
      </c>
      <c r="AF227" s="573">
        <f t="shared" si="114"/>
        <v>0</v>
      </c>
      <c r="AG227" s="573">
        <f t="shared" si="114"/>
        <v>0</v>
      </c>
      <c r="AH227" s="573">
        <f t="shared" si="114"/>
        <v>0</v>
      </c>
      <c r="AI227" s="573">
        <f t="shared" si="114"/>
        <v>0</v>
      </c>
      <c r="AJ227" s="573">
        <f t="shared" si="114"/>
        <v>0</v>
      </c>
      <c r="AK227" s="573">
        <f t="shared" si="114"/>
        <v>0</v>
      </c>
      <c r="AL227" s="573">
        <f t="shared" si="114"/>
        <v>0</v>
      </c>
      <c r="AM227" s="573">
        <f t="shared" si="114"/>
        <v>0</v>
      </c>
      <c r="AN227" s="574">
        <f t="shared" si="114"/>
        <v>0</v>
      </c>
    </row>
    <row r="228" spans="6:40" ht="24" outlineLevel="2">
      <c r="F228" s="228" t="s">
        <v>43</v>
      </c>
      <c r="G228" s="563">
        <f>+G22-G83</f>
        <v>15163628.430000002</v>
      </c>
      <c r="H228" s="564">
        <f>+H22-H83</f>
        <v>15678236.610000001</v>
      </c>
      <c r="I228" s="564">
        <f>+I22-I83</f>
        <v>18261749.889999997</v>
      </c>
      <c r="J228" s="565">
        <f>+J22-J83</f>
        <v>16913666.21</v>
      </c>
      <c r="K228" s="548">
        <f>+K22-K83</f>
        <v>19772645.6</v>
      </c>
      <c r="L228" s="549">
        <f aca="true" t="shared" si="115" ref="L228:AN228">+L22-L83</f>
        <v>19095139.7</v>
      </c>
      <c r="M228" s="549">
        <f t="shared" si="115"/>
        <v>19321253.34</v>
      </c>
      <c r="N228" s="549">
        <f t="shared" si="115"/>
        <v>20078095.44</v>
      </c>
      <c r="O228" s="549">
        <f t="shared" si="115"/>
        <v>20840419.26</v>
      </c>
      <c r="P228" s="549">
        <f t="shared" si="115"/>
        <v>21634436.03</v>
      </c>
      <c r="Q228" s="549">
        <f t="shared" si="115"/>
        <v>22411413.47</v>
      </c>
      <c r="R228" s="549">
        <f t="shared" si="115"/>
        <v>23292670.01</v>
      </c>
      <c r="S228" s="549">
        <f t="shared" si="115"/>
        <v>0</v>
      </c>
      <c r="T228" s="549">
        <f t="shared" si="115"/>
        <v>0</v>
      </c>
      <c r="U228" s="549">
        <f t="shared" si="115"/>
        <v>0</v>
      </c>
      <c r="V228" s="549">
        <f t="shared" si="115"/>
        <v>0</v>
      </c>
      <c r="W228" s="549">
        <f t="shared" si="115"/>
        <v>0</v>
      </c>
      <c r="X228" s="549">
        <f t="shared" si="115"/>
        <v>0</v>
      </c>
      <c r="Y228" s="549">
        <f t="shared" si="115"/>
        <v>0</v>
      </c>
      <c r="Z228" s="549">
        <f t="shared" si="115"/>
        <v>0</v>
      </c>
      <c r="AA228" s="549">
        <f t="shared" si="115"/>
        <v>0</v>
      </c>
      <c r="AB228" s="549">
        <f t="shared" si="115"/>
        <v>0</v>
      </c>
      <c r="AC228" s="549">
        <f t="shared" si="115"/>
        <v>0</v>
      </c>
      <c r="AD228" s="549">
        <f t="shared" si="115"/>
        <v>0</v>
      </c>
      <c r="AE228" s="549">
        <f t="shared" si="115"/>
        <v>0</v>
      </c>
      <c r="AF228" s="549">
        <f t="shared" si="115"/>
        <v>0</v>
      </c>
      <c r="AG228" s="549">
        <f t="shared" si="115"/>
        <v>0</v>
      </c>
      <c r="AH228" s="549">
        <f t="shared" si="115"/>
        <v>0</v>
      </c>
      <c r="AI228" s="549">
        <f t="shared" si="115"/>
        <v>0</v>
      </c>
      <c r="AJ228" s="549">
        <f t="shared" si="115"/>
        <v>0</v>
      </c>
      <c r="AK228" s="549">
        <f t="shared" si="115"/>
        <v>0</v>
      </c>
      <c r="AL228" s="549">
        <f t="shared" si="115"/>
        <v>0</v>
      </c>
      <c r="AM228" s="549">
        <f t="shared" si="115"/>
        <v>0</v>
      </c>
      <c r="AN228" s="550">
        <f t="shared" si="115"/>
        <v>0</v>
      </c>
    </row>
    <row r="229" spans="6:40" ht="24" outlineLevel="2">
      <c r="F229" s="228" t="s">
        <v>42</v>
      </c>
      <c r="G229" s="563">
        <f>+G68</f>
        <v>7726520.97</v>
      </c>
      <c r="H229" s="564">
        <f>+H68</f>
        <v>8175395.87</v>
      </c>
      <c r="I229" s="564">
        <f>+I68</f>
        <v>9331118</v>
      </c>
      <c r="J229" s="565">
        <f>+J68</f>
        <v>9036202.83</v>
      </c>
      <c r="K229" s="548">
        <f>+K68</f>
        <v>9479822</v>
      </c>
      <c r="L229" s="549">
        <f aca="true" t="shared" si="116" ref="L229:AN229">+L68</f>
        <v>9740005.48</v>
      </c>
      <c r="M229" s="549">
        <f t="shared" si="116"/>
        <v>10032205.64</v>
      </c>
      <c r="N229" s="549">
        <f t="shared" si="116"/>
        <v>10433493.87</v>
      </c>
      <c r="O229" s="549">
        <f t="shared" si="116"/>
        <v>10850833.62</v>
      </c>
      <c r="P229" s="549">
        <f t="shared" si="116"/>
        <v>11284866.97</v>
      </c>
      <c r="Q229" s="549">
        <f t="shared" si="116"/>
        <v>11736261.65</v>
      </c>
      <c r="R229" s="549">
        <f t="shared" si="116"/>
        <v>12205712.11</v>
      </c>
      <c r="S229" s="549">
        <f t="shared" si="116"/>
        <v>0</v>
      </c>
      <c r="T229" s="549">
        <f t="shared" si="116"/>
        <v>0</v>
      </c>
      <c r="U229" s="549">
        <f t="shared" si="116"/>
        <v>0</v>
      </c>
      <c r="V229" s="549">
        <f t="shared" si="116"/>
        <v>0</v>
      </c>
      <c r="W229" s="549">
        <f t="shared" si="116"/>
        <v>0</v>
      </c>
      <c r="X229" s="549">
        <f t="shared" si="116"/>
        <v>0</v>
      </c>
      <c r="Y229" s="549">
        <f t="shared" si="116"/>
        <v>0</v>
      </c>
      <c r="Z229" s="549">
        <f t="shared" si="116"/>
        <v>0</v>
      </c>
      <c r="AA229" s="549">
        <f t="shared" si="116"/>
        <v>0</v>
      </c>
      <c r="AB229" s="549">
        <f t="shared" si="116"/>
        <v>0</v>
      </c>
      <c r="AC229" s="549">
        <f t="shared" si="116"/>
        <v>0</v>
      </c>
      <c r="AD229" s="549">
        <f t="shared" si="116"/>
        <v>0</v>
      </c>
      <c r="AE229" s="549">
        <f t="shared" si="116"/>
        <v>0</v>
      </c>
      <c r="AF229" s="549">
        <f t="shared" si="116"/>
        <v>0</v>
      </c>
      <c r="AG229" s="549">
        <f t="shared" si="116"/>
        <v>0</v>
      </c>
      <c r="AH229" s="549">
        <f t="shared" si="116"/>
        <v>0</v>
      </c>
      <c r="AI229" s="549">
        <f t="shared" si="116"/>
        <v>0</v>
      </c>
      <c r="AJ229" s="549">
        <f t="shared" si="116"/>
        <v>0</v>
      </c>
      <c r="AK229" s="549">
        <f t="shared" si="116"/>
        <v>0</v>
      </c>
      <c r="AL229" s="549">
        <f t="shared" si="116"/>
        <v>0</v>
      </c>
      <c r="AM229" s="549">
        <f t="shared" si="116"/>
        <v>0</v>
      </c>
      <c r="AN229" s="550">
        <f t="shared" si="116"/>
        <v>0</v>
      </c>
    </row>
    <row r="230" spans="6:40" ht="48" outlineLevel="2">
      <c r="F230" s="229" t="s">
        <v>412</v>
      </c>
      <c r="G230" s="566">
        <f>+G22-G23-G26-G68-G69</f>
        <v>5549792.930000001</v>
      </c>
      <c r="H230" s="567">
        <f>+H22-H23-H26-H68-H69</f>
        <v>5271878.950000001</v>
      </c>
      <c r="I230" s="567">
        <f>+I22-I23-I26-I68-I69</f>
        <v>8849435.399999999</v>
      </c>
      <c r="J230" s="568">
        <f>+J22-J23-J26-J68-J69</f>
        <v>5619149.050000002</v>
      </c>
      <c r="K230" s="557">
        <f>+K22-K23-K26-K68-K69</f>
        <v>7411217.6000000015</v>
      </c>
      <c r="L230" s="558">
        <f aca="true" t="shared" si="117" ref="L230:AN230">+L22-L23-L26-L68-L69</f>
        <v>6808716.639999998</v>
      </c>
      <c r="M230" s="558">
        <f t="shared" si="117"/>
        <v>6629904.15</v>
      </c>
      <c r="N230" s="558">
        <f t="shared" si="117"/>
        <v>6729501.6000000015</v>
      </c>
      <c r="O230" s="558">
        <f t="shared" si="117"/>
        <v>6998681.670000002</v>
      </c>
      <c r="P230" s="558">
        <f t="shared" si="117"/>
        <v>7278628.94</v>
      </c>
      <c r="Q230" s="558">
        <f t="shared" si="117"/>
        <v>7569774.089999998</v>
      </c>
      <c r="R230" s="558">
        <f t="shared" si="117"/>
        <v>7872565.060000002</v>
      </c>
      <c r="S230" s="558">
        <f t="shared" si="117"/>
        <v>0</v>
      </c>
      <c r="T230" s="558">
        <f t="shared" si="117"/>
        <v>0</v>
      </c>
      <c r="U230" s="558">
        <f t="shared" si="117"/>
        <v>0</v>
      </c>
      <c r="V230" s="558">
        <f t="shared" si="117"/>
        <v>0</v>
      </c>
      <c r="W230" s="558">
        <f t="shared" si="117"/>
        <v>0</v>
      </c>
      <c r="X230" s="558">
        <f t="shared" si="117"/>
        <v>0</v>
      </c>
      <c r="Y230" s="558">
        <f t="shared" si="117"/>
        <v>0</v>
      </c>
      <c r="Z230" s="558">
        <f t="shared" si="117"/>
        <v>0</v>
      </c>
      <c r="AA230" s="558">
        <f t="shared" si="117"/>
        <v>0</v>
      </c>
      <c r="AB230" s="558">
        <f t="shared" si="117"/>
        <v>0</v>
      </c>
      <c r="AC230" s="558">
        <f t="shared" si="117"/>
        <v>0</v>
      </c>
      <c r="AD230" s="558">
        <f t="shared" si="117"/>
        <v>0</v>
      </c>
      <c r="AE230" s="558">
        <f t="shared" si="117"/>
        <v>0</v>
      </c>
      <c r="AF230" s="558">
        <f t="shared" si="117"/>
        <v>0</v>
      </c>
      <c r="AG230" s="558">
        <f t="shared" si="117"/>
        <v>0</v>
      </c>
      <c r="AH230" s="558">
        <f t="shared" si="117"/>
        <v>0</v>
      </c>
      <c r="AI230" s="558">
        <f t="shared" si="117"/>
        <v>0</v>
      </c>
      <c r="AJ230" s="558">
        <f t="shared" si="117"/>
        <v>0</v>
      </c>
      <c r="AK230" s="558">
        <f t="shared" si="117"/>
        <v>0</v>
      </c>
      <c r="AL230" s="558">
        <f t="shared" si="117"/>
        <v>0</v>
      </c>
      <c r="AM230" s="558">
        <f t="shared" si="117"/>
        <v>0</v>
      </c>
      <c r="AN230" s="559">
        <f t="shared" si="117"/>
        <v>0</v>
      </c>
    </row>
    <row r="231" spans="6:40" ht="14.25" outlineLevel="2">
      <c r="F231" s="232"/>
      <c r="G231" s="575"/>
      <c r="H231" s="575"/>
      <c r="I231" s="575"/>
      <c r="J231" s="575"/>
      <c r="K231" s="576"/>
      <c r="L231" s="576"/>
      <c r="M231" s="576"/>
      <c r="N231" s="576"/>
      <c r="O231" s="576"/>
      <c r="P231" s="576"/>
      <c r="Q231" s="576"/>
      <c r="R231" s="576"/>
      <c r="S231" s="576"/>
      <c r="T231" s="576"/>
      <c r="U231" s="576"/>
      <c r="V231" s="576"/>
      <c r="W231" s="576"/>
      <c r="X231" s="576"/>
      <c r="Y231" s="576"/>
      <c r="Z231" s="576"/>
      <c r="AA231" s="576"/>
      <c r="AB231" s="576"/>
      <c r="AC231" s="576"/>
      <c r="AD231" s="576"/>
      <c r="AE231" s="576"/>
      <c r="AF231" s="576"/>
      <c r="AG231" s="576"/>
      <c r="AH231" s="576"/>
      <c r="AI231" s="576"/>
      <c r="AJ231" s="576"/>
      <c r="AK231" s="576"/>
      <c r="AL231" s="576"/>
      <c r="AM231" s="576"/>
      <c r="AN231" s="576"/>
    </row>
    <row r="232" spans="6:40" ht="14.25" outlineLevel="1">
      <c r="F232" s="422" t="s">
        <v>463</v>
      </c>
      <c r="G232" s="485"/>
      <c r="H232" s="485"/>
      <c r="I232" s="485"/>
      <c r="J232" s="485"/>
      <c r="K232" s="483"/>
      <c r="L232" s="483"/>
      <c r="M232" s="483"/>
      <c r="N232" s="483"/>
      <c r="O232" s="483"/>
      <c r="P232" s="483"/>
      <c r="Q232" s="483"/>
      <c r="R232" s="483"/>
      <c r="S232" s="483"/>
      <c r="T232" s="483"/>
      <c r="U232" s="483"/>
      <c r="V232" s="483"/>
      <c r="W232" s="483"/>
      <c r="X232" s="483"/>
      <c r="Y232" s="483"/>
      <c r="Z232" s="483"/>
      <c r="AA232" s="483"/>
      <c r="AB232" s="483"/>
      <c r="AC232" s="483"/>
      <c r="AD232" s="483"/>
      <c r="AE232" s="483"/>
      <c r="AF232" s="483"/>
      <c r="AG232" s="483"/>
      <c r="AH232" s="483"/>
      <c r="AI232" s="483"/>
      <c r="AJ232" s="483"/>
      <c r="AK232" s="483"/>
      <c r="AL232" s="483"/>
      <c r="AM232" s="483"/>
      <c r="AN232" s="483"/>
    </row>
    <row r="233" spans="1:40" s="184" customFormat="1" ht="15" outlineLevel="2">
      <c r="A233" s="388"/>
      <c r="B233" s="388"/>
      <c r="C233" s="388"/>
      <c r="D233" s="388"/>
      <c r="E233" s="388"/>
      <c r="F233" s="389" t="s">
        <v>26</v>
      </c>
      <c r="G233" s="577" t="s">
        <v>450</v>
      </c>
      <c r="H233" s="578">
        <f aca="true" t="shared" si="118" ref="H233:AN233">+IF(G10&lt;&gt;0,H10/G10,0)</f>
        <v>1.0148127457912826</v>
      </c>
      <c r="I233" s="578">
        <f t="shared" si="118"/>
        <v>1.0892822422468926</v>
      </c>
      <c r="J233" s="579">
        <f t="shared" si="118"/>
        <v>1.0147664921195276</v>
      </c>
      <c r="K233" s="580">
        <f t="shared" si="118"/>
        <v>1.0770854132593586</v>
      </c>
      <c r="L233" s="581">
        <f t="shared" si="118"/>
        <v>0.9987908705590481</v>
      </c>
      <c r="M233" s="581">
        <f t="shared" si="118"/>
        <v>1.029637083454278</v>
      </c>
      <c r="N233" s="581">
        <f t="shared" si="118"/>
        <v>1.0308240102731587</v>
      </c>
      <c r="O233" s="581">
        <f t="shared" si="118"/>
        <v>1.038066772764591</v>
      </c>
      <c r="P233" s="581">
        <f t="shared" si="118"/>
        <v>1.0390000002210737</v>
      </c>
      <c r="Q233" s="581">
        <f t="shared" si="118"/>
        <v>1.0390000001369926</v>
      </c>
      <c r="R233" s="581">
        <f t="shared" si="118"/>
        <v>1.0389999998292758</v>
      </c>
      <c r="S233" s="581">
        <f t="shared" si="118"/>
        <v>0</v>
      </c>
      <c r="T233" s="581">
        <f t="shared" si="118"/>
        <v>0</v>
      </c>
      <c r="U233" s="581">
        <f t="shared" si="118"/>
        <v>0</v>
      </c>
      <c r="V233" s="581">
        <f t="shared" si="118"/>
        <v>0</v>
      </c>
      <c r="W233" s="581">
        <f t="shared" si="118"/>
        <v>0</v>
      </c>
      <c r="X233" s="581">
        <f t="shared" si="118"/>
        <v>0</v>
      </c>
      <c r="Y233" s="581">
        <f t="shared" si="118"/>
        <v>0</v>
      </c>
      <c r="Z233" s="581">
        <f t="shared" si="118"/>
        <v>0</v>
      </c>
      <c r="AA233" s="581">
        <f t="shared" si="118"/>
        <v>0</v>
      </c>
      <c r="AB233" s="581">
        <f t="shared" si="118"/>
        <v>0</v>
      </c>
      <c r="AC233" s="581">
        <f t="shared" si="118"/>
        <v>0</v>
      </c>
      <c r="AD233" s="581">
        <f t="shared" si="118"/>
        <v>0</v>
      </c>
      <c r="AE233" s="581">
        <f t="shared" si="118"/>
        <v>0</v>
      </c>
      <c r="AF233" s="581">
        <f t="shared" si="118"/>
        <v>0</v>
      </c>
      <c r="AG233" s="581">
        <f t="shared" si="118"/>
        <v>0</v>
      </c>
      <c r="AH233" s="581">
        <f t="shared" si="118"/>
        <v>0</v>
      </c>
      <c r="AI233" s="581">
        <f t="shared" si="118"/>
        <v>0</v>
      </c>
      <c r="AJ233" s="581">
        <f t="shared" si="118"/>
        <v>0</v>
      </c>
      <c r="AK233" s="581">
        <f t="shared" si="118"/>
        <v>0</v>
      </c>
      <c r="AL233" s="581">
        <f t="shared" si="118"/>
        <v>0</v>
      </c>
      <c r="AM233" s="581">
        <f t="shared" si="118"/>
        <v>0</v>
      </c>
      <c r="AN233" s="582">
        <f t="shared" si="118"/>
        <v>0</v>
      </c>
    </row>
    <row r="234" spans="6:40" ht="15" customHeight="1" outlineLevel="2">
      <c r="F234" s="390" t="s">
        <v>232</v>
      </c>
      <c r="G234" s="583" t="s">
        <v>450</v>
      </c>
      <c r="H234" s="584">
        <f aca="true" t="shared" si="119" ref="H234:AN234">+IF(G11&lt;&gt;0,H11/G11,0)</f>
        <v>1.0663949903759549</v>
      </c>
      <c r="I234" s="584">
        <f t="shared" si="119"/>
        <v>1.0675526253141583</v>
      </c>
      <c r="J234" s="585">
        <f t="shared" si="119"/>
        <v>1.0216770929193812</v>
      </c>
      <c r="K234" s="586">
        <f t="shared" si="119"/>
        <v>1.0887701987254161</v>
      </c>
      <c r="L234" s="587">
        <f t="shared" si="119"/>
        <v>1.0097655736249258</v>
      </c>
      <c r="M234" s="587">
        <f t="shared" si="119"/>
        <v>1.0296795247573067</v>
      </c>
      <c r="N234" s="587">
        <f t="shared" si="119"/>
        <v>1.03133046454835</v>
      </c>
      <c r="O234" s="587">
        <f t="shared" si="119"/>
        <v>1.038999999889872</v>
      </c>
      <c r="P234" s="587">
        <f t="shared" si="119"/>
        <v>1.0390000002210737</v>
      </c>
      <c r="Q234" s="587">
        <f t="shared" si="119"/>
        <v>1.0390000001369926</v>
      </c>
      <c r="R234" s="587">
        <f t="shared" si="119"/>
        <v>1.0389999998292758</v>
      </c>
      <c r="S234" s="587">
        <f t="shared" si="119"/>
        <v>0</v>
      </c>
      <c r="T234" s="587">
        <f t="shared" si="119"/>
        <v>0</v>
      </c>
      <c r="U234" s="587">
        <f t="shared" si="119"/>
        <v>0</v>
      </c>
      <c r="V234" s="587">
        <f t="shared" si="119"/>
        <v>0</v>
      </c>
      <c r="W234" s="587">
        <f t="shared" si="119"/>
        <v>0</v>
      </c>
      <c r="X234" s="587">
        <f t="shared" si="119"/>
        <v>0</v>
      </c>
      <c r="Y234" s="587">
        <f t="shared" si="119"/>
        <v>0</v>
      </c>
      <c r="Z234" s="587">
        <f t="shared" si="119"/>
        <v>0</v>
      </c>
      <c r="AA234" s="587">
        <f t="shared" si="119"/>
        <v>0</v>
      </c>
      <c r="AB234" s="587">
        <f t="shared" si="119"/>
        <v>0</v>
      </c>
      <c r="AC234" s="587">
        <f t="shared" si="119"/>
        <v>0</v>
      </c>
      <c r="AD234" s="587">
        <f t="shared" si="119"/>
        <v>0</v>
      </c>
      <c r="AE234" s="587">
        <f t="shared" si="119"/>
        <v>0</v>
      </c>
      <c r="AF234" s="587">
        <f t="shared" si="119"/>
        <v>0</v>
      </c>
      <c r="AG234" s="587">
        <f t="shared" si="119"/>
        <v>0</v>
      </c>
      <c r="AH234" s="587">
        <f t="shared" si="119"/>
        <v>0</v>
      </c>
      <c r="AI234" s="587">
        <f t="shared" si="119"/>
        <v>0</v>
      </c>
      <c r="AJ234" s="587">
        <f t="shared" si="119"/>
        <v>0</v>
      </c>
      <c r="AK234" s="587">
        <f t="shared" si="119"/>
        <v>0</v>
      </c>
      <c r="AL234" s="587">
        <f t="shared" si="119"/>
        <v>0</v>
      </c>
      <c r="AM234" s="587">
        <f t="shared" si="119"/>
        <v>0</v>
      </c>
      <c r="AN234" s="588">
        <f t="shared" si="119"/>
        <v>0</v>
      </c>
    </row>
    <row r="235" spans="6:40" ht="24.75" customHeight="1" outlineLevel="2">
      <c r="F235" s="391" t="s">
        <v>420</v>
      </c>
      <c r="G235" s="589" t="s">
        <v>450</v>
      </c>
      <c r="H235" s="590">
        <f aca="true" t="shared" si="120" ref="H235:AN235">+IF((G77)&lt;&gt;0,(H77)/(G77),0)</f>
        <v>1.8047657188990123</v>
      </c>
      <c r="I235" s="590">
        <f t="shared" si="120"/>
        <v>1.5524580062508528</v>
      </c>
      <c r="J235" s="591">
        <f t="shared" si="120"/>
        <v>0.9472917816204116</v>
      </c>
      <c r="K235" s="586">
        <f t="shared" si="120"/>
        <v>1.8623044296225906</v>
      </c>
      <c r="L235" s="587">
        <f t="shared" si="120"/>
        <v>0.44385198802000403</v>
      </c>
      <c r="M235" s="587">
        <f t="shared" si="120"/>
        <v>0.6592585593946014</v>
      </c>
      <c r="N235" s="587">
        <f t="shared" si="120"/>
        <v>0</v>
      </c>
      <c r="O235" s="587">
        <f t="shared" si="120"/>
        <v>0</v>
      </c>
      <c r="P235" s="587">
        <f t="shared" si="120"/>
        <v>0</v>
      </c>
      <c r="Q235" s="587">
        <f t="shared" si="120"/>
        <v>0</v>
      </c>
      <c r="R235" s="587">
        <f t="shared" si="120"/>
        <v>0</v>
      </c>
      <c r="S235" s="587">
        <f t="shared" si="120"/>
        <v>0</v>
      </c>
      <c r="T235" s="587">
        <f t="shared" si="120"/>
        <v>0</v>
      </c>
      <c r="U235" s="587">
        <f t="shared" si="120"/>
        <v>0</v>
      </c>
      <c r="V235" s="587">
        <f t="shared" si="120"/>
        <v>0</v>
      </c>
      <c r="W235" s="587">
        <f t="shared" si="120"/>
        <v>0</v>
      </c>
      <c r="X235" s="587">
        <f t="shared" si="120"/>
        <v>0</v>
      </c>
      <c r="Y235" s="587">
        <f t="shared" si="120"/>
        <v>0</v>
      </c>
      <c r="Z235" s="587">
        <f t="shared" si="120"/>
        <v>0</v>
      </c>
      <c r="AA235" s="587">
        <f t="shared" si="120"/>
        <v>0</v>
      </c>
      <c r="AB235" s="587">
        <f t="shared" si="120"/>
        <v>0</v>
      </c>
      <c r="AC235" s="587">
        <f t="shared" si="120"/>
        <v>0</v>
      </c>
      <c r="AD235" s="587">
        <f t="shared" si="120"/>
        <v>0</v>
      </c>
      <c r="AE235" s="587">
        <f t="shared" si="120"/>
        <v>0</v>
      </c>
      <c r="AF235" s="587">
        <f t="shared" si="120"/>
        <v>0</v>
      </c>
      <c r="AG235" s="587">
        <f t="shared" si="120"/>
        <v>0</v>
      </c>
      <c r="AH235" s="587">
        <f t="shared" si="120"/>
        <v>0</v>
      </c>
      <c r="AI235" s="587">
        <f t="shared" si="120"/>
        <v>0</v>
      </c>
      <c r="AJ235" s="587">
        <f t="shared" si="120"/>
        <v>0</v>
      </c>
      <c r="AK235" s="587">
        <f t="shared" si="120"/>
        <v>0</v>
      </c>
      <c r="AL235" s="587">
        <f t="shared" si="120"/>
        <v>0</v>
      </c>
      <c r="AM235" s="587">
        <f t="shared" si="120"/>
        <v>0</v>
      </c>
      <c r="AN235" s="588">
        <f t="shared" si="120"/>
        <v>0</v>
      </c>
    </row>
    <row r="236" spans="6:40" ht="15" customHeight="1" outlineLevel="2">
      <c r="F236" s="390" t="s">
        <v>29</v>
      </c>
      <c r="G236" s="583" t="s">
        <v>450</v>
      </c>
      <c r="H236" s="584">
        <f aca="true" t="shared" si="121" ref="H236:AN236">+IF(G18&lt;&gt;0,H18/G18,0)</f>
        <v>0.17145733538615723</v>
      </c>
      <c r="I236" s="584">
        <f t="shared" si="121"/>
        <v>3.2989373651596448</v>
      </c>
      <c r="J236" s="585">
        <f t="shared" si="121"/>
        <v>0.7873596883413847</v>
      </c>
      <c r="K236" s="586">
        <f t="shared" si="121"/>
        <v>0.5781447826915105</v>
      </c>
      <c r="L236" s="587">
        <f t="shared" si="121"/>
        <v>0.11627906976744186</v>
      </c>
      <c r="M236" s="587">
        <f t="shared" si="121"/>
        <v>1</v>
      </c>
      <c r="N236" s="587">
        <f t="shared" si="121"/>
        <v>0.6666666666666666</v>
      </c>
      <c r="O236" s="587">
        <f t="shared" si="121"/>
        <v>0</v>
      </c>
      <c r="P236" s="587">
        <f t="shared" si="121"/>
        <v>0</v>
      </c>
      <c r="Q236" s="587">
        <f t="shared" si="121"/>
        <v>0</v>
      </c>
      <c r="R236" s="587">
        <f t="shared" si="121"/>
        <v>0</v>
      </c>
      <c r="S236" s="587">
        <f t="shared" si="121"/>
        <v>0</v>
      </c>
      <c r="T236" s="587">
        <f t="shared" si="121"/>
        <v>0</v>
      </c>
      <c r="U236" s="587">
        <f t="shared" si="121"/>
        <v>0</v>
      </c>
      <c r="V236" s="587">
        <f t="shared" si="121"/>
        <v>0</v>
      </c>
      <c r="W236" s="587">
        <f t="shared" si="121"/>
        <v>0</v>
      </c>
      <c r="X236" s="587">
        <f t="shared" si="121"/>
        <v>0</v>
      </c>
      <c r="Y236" s="587">
        <f t="shared" si="121"/>
        <v>0</v>
      </c>
      <c r="Z236" s="587">
        <f t="shared" si="121"/>
        <v>0</v>
      </c>
      <c r="AA236" s="587">
        <f t="shared" si="121"/>
        <v>0</v>
      </c>
      <c r="AB236" s="587">
        <f t="shared" si="121"/>
        <v>0</v>
      </c>
      <c r="AC236" s="587">
        <f t="shared" si="121"/>
        <v>0</v>
      </c>
      <c r="AD236" s="587">
        <f t="shared" si="121"/>
        <v>0</v>
      </c>
      <c r="AE236" s="587">
        <f t="shared" si="121"/>
        <v>0</v>
      </c>
      <c r="AF236" s="587">
        <f t="shared" si="121"/>
        <v>0</v>
      </c>
      <c r="AG236" s="587">
        <f t="shared" si="121"/>
        <v>0</v>
      </c>
      <c r="AH236" s="587">
        <f t="shared" si="121"/>
        <v>0</v>
      </c>
      <c r="AI236" s="587">
        <f t="shared" si="121"/>
        <v>0</v>
      </c>
      <c r="AJ236" s="587">
        <f t="shared" si="121"/>
        <v>0</v>
      </c>
      <c r="AK236" s="587">
        <f t="shared" si="121"/>
        <v>0</v>
      </c>
      <c r="AL236" s="587">
        <f t="shared" si="121"/>
        <v>0</v>
      </c>
      <c r="AM236" s="587">
        <f t="shared" si="121"/>
        <v>0</v>
      </c>
      <c r="AN236" s="588">
        <f t="shared" si="121"/>
        <v>0</v>
      </c>
    </row>
    <row r="237" spans="6:40" ht="15" customHeight="1" outlineLevel="2">
      <c r="F237" s="392" t="s">
        <v>30</v>
      </c>
      <c r="G237" s="583" t="s">
        <v>450</v>
      </c>
      <c r="H237" s="584">
        <f aca="true" t="shared" si="122" ref="H237:AN237">+IF(G19&lt;&gt;0,H19/G19,0)</f>
        <v>0.27643762829746193</v>
      </c>
      <c r="I237" s="584">
        <f t="shared" si="122"/>
        <v>9.321903988531986</v>
      </c>
      <c r="J237" s="585">
        <f t="shared" si="122"/>
        <v>0</v>
      </c>
      <c r="K237" s="586">
        <f t="shared" si="122"/>
        <v>0</v>
      </c>
      <c r="L237" s="587">
        <f t="shared" si="122"/>
        <v>0</v>
      </c>
      <c r="M237" s="587">
        <f t="shared" si="122"/>
        <v>0</v>
      </c>
      <c r="N237" s="587">
        <f t="shared" si="122"/>
        <v>0</v>
      </c>
      <c r="O237" s="587">
        <f t="shared" si="122"/>
        <v>0</v>
      </c>
      <c r="P237" s="587">
        <f t="shared" si="122"/>
        <v>0</v>
      </c>
      <c r="Q237" s="587">
        <f t="shared" si="122"/>
        <v>0</v>
      </c>
      <c r="R237" s="587">
        <f t="shared" si="122"/>
        <v>0</v>
      </c>
      <c r="S237" s="587">
        <f t="shared" si="122"/>
        <v>0</v>
      </c>
      <c r="T237" s="587">
        <f t="shared" si="122"/>
        <v>0</v>
      </c>
      <c r="U237" s="587">
        <f t="shared" si="122"/>
        <v>0</v>
      </c>
      <c r="V237" s="587">
        <f t="shared" si="122"/>
        <v>0</v>
      </c>
      <c r="W237" s="587">
        <f t="shared" si="122"/>
        <v>0</v>
      </c>
      <c r="X237" s="587">
        <f t="shared" si="122"/>
        <v>0</v>
      </c>
      <c r="Y237" s="587">
        <f t="shared" si="122"/>
        <v>0</v>
      </c>
      <c r="Z237" s="587">
        <f t="shared" si="122"/>
        <v>0</v>
      </c>
      <c r="AA237" s="587">
        <f t="shared" si="122"/>
        <v>0</v>
      </c>
      <c r="AB237" s="587">
        <f t="shared" si="122"/>
        <v>0</v>
      </c>
      <c r="AC237" s="587">
        <f t="shared" si="122"/>
        <v>0</v>
      </c>
      <c r="AD237" s="587">
        <f t="shared" si="122"/>
        <v>0</v>
      </c>
      <c r="AE237" s="587">
        <f t="shared" si="122"/>
        <v>0</v>
      </c>
      <c r="AF237" s="587">
        <f t="shared" si="122"/>
        <v>0</v>
      </c>
      <c r="AG237" s="587">
        <f t="shared" si="122"/>
        <v>0</v>
      </c>
      <c r="AH237" s="587">
        <f t="shared" si="122"/>
        <v>0</v>
      </c>
      <c r="AI237" s="587">
        <f t="shared" si="122"/>
        <v>0</v>
      </c>
      <c r="AJ237" s="587">
        <f t="shared" si="122"/>
        <v>0</v>
      </c>
      <c r="AK237" s="587">
        <f t="shared" si="122"/>
        <v>0</v>
      </c>
      <c r="AL237" s="587">
        <f t="shared" si="122"/>
        <v>0</v>
      </c>
      <c r="AM237" s="587">
        <f t="shared" si="122"/>
        <v>0</v>
      </c>
      <c r="AN237" s="588">
        <f t="shared" si="122"/>
        <v>0</v>
      </c>
    </row>
    <row r="238" spans="6:40" ht="24" customHeight="1" outlineLevel="2">
      <c r="F238" s="393" t="s">
        <v>420</v>
      </c>
      <c r="G238" s="592" t="s">
        <v>450</v>
      </c>
      <c r="H238" s="593">
        <f aca="true" t="shared" si="123" ref="H238:AN238">+IF((G80)&lt;&gt;0,(H80)/(G80),0)</f>
        <v>0</v>
      </c>
      <c r="I238" s="593">
        <f t="shared" si="123"/>
        <v>2.744506524792942</v>
      </c>
      <c r="J238" s="594">
        <f t="shared" si="123"/>
        <v>0.9594255328018825</v>
      </c>
      <c r="K238" s="595">
        <f t="shared" si="123"/>
        <v>0.4731385257872566</v>
      </c>
      <c r="L238" s="596">
        <f t="shared" si="123"/>
        <v>0</v>
      </c>
      <c r="M238" s="596">
        <f t="shared" si="123"/>
        <v>0</v>
      </c>
      <c r="N238" s="596">
        <f t="shared" si="123"/>
        <v>0</v>
      </c>
      <c r="O238" s="596">
        <f t="shared" si="123"/>
        <v>0</v>
      </c>
      <c r="P238" s="596">
        <f t="shared" si="123"/>
        <v>0</v>
      </c>
      <c r="Q238" s="596">
        <f t="shared" si="123"/>
        <v>0</v>
      </c>
      <c r="R238" s="596">
        <f t="shared" si="123"/>
        <v>0</v>
      </c>
      <c r="S238" s="596">
        <f t="shared" si="123"/>
        <v>0</v>
      </c>
      <c r="T238" s="596">
        <f t="shared" si="123"/>
        <v>0</v>
      </c>
      <c r="U238" s="596">
        <f t="shared" si="123"/>
        <v>0</v>
      </c>
      <c r="V238" s="596">
        <f t="shared" si="123"/>
        <v>0</v>
      </c>
      <c r="W238" s="596">
        <f t="shared" si="123"/>
        <v>0</v>
      </c>
      <c r="X238" s="596">
        <f t="shared" si="123"/>
        <v>0</v>
      </c>
      <c r="Y238" s="596">
        <f t="shared" si="123"/>
        <v>0</v>
      </c>
      <c r="Z238" s="596">
        <f t="shared" si="123"/>
        <v>0</v>
      </c>
      <c r="AA238" s="596">
        <f t="shared" si="123"/>
        <v>0</v>
      </c>
      <c r="AB238" s="596">
        <f t="shared" si="123"/>
        <v>0</v>
      </c>
      <c r="AC238" s="596">
        <f t="shared" si="123"/>
        <v>0</v>
      </c>
      <c r="AD238" s="596">
        <f t="shared" si="123"/>
        <v>0</v>
      </c>
      <c r="AE238" s="596">
        <f t="shared" si="123"/>
        <v>0</v>
      </c>
      <c r="AF238" s="596">
        <f t="shared" si="123"/>
        <v>0</v>
      </c>
      <c r="AG238" s="596">
        <f t="shared" si="123"/>
        <v>0</v>
      </c>
      <c r="AH238" s="596">
        <f t="shared" si="123"/>
        <v>0</v>
      </c>
      <c r="AI238" s="596">
        <f t="shared" si="123"/>
        <v>0</v>
      </c>
      <c r="AJ238" s="596">
        <f t="shared" si="123"/>
        <v>0</v>
      </c>
      <c r="AK238" s="596">
        <f t="shared" si="123"/>
        <v>0</v>
      </c>
      <c r="AL238" s="596">
        <f t="shared" si="123"/>
        <v>0</v>
      </c>
      <c r="AM238" s="596">
        <f t="shared" si="123"/>
        <v>0</v>
      </c>
      <c r="AN238" s="597">
        <f t="shared" si="123"/>
        <v>0</v>
      </c>
    </row>
    <row r="239" spans="1:40" s="184" customFormat="1" ht="15" outlineLevel="2">
      <c r="A239" s="388"/>
      <c r="B239" s="388"/>
      <c r="C239" s="388"/>
      <c r="D239" s="388"/>
      <c r="E239" s="388"/>
      <c r="F239" s="389" t="s">
        <v>21</v>
      </c>
      <c r="G239" s="577" t="s">
        <v>450</v>
      </c>
      <c r="H239" s="578">
        <f aca="true" t="shared" si="124" ref="H239:AN239">+IF(G21&lt;&gt;0,H21/G21,0)</f>
        <v>0.9271778439899057</v>
      </c>
      <c r="I239" s="578">
        <f t="shared" si="124"/>
        <v>1.1764504558469608</v>
      </c>
      <c r="J239" s="579">
        <f t="shared" si="124"/>
        <v>0.9042549812028773</v>
      </c>
      <c r="K239" s="580">
        <f t="shared" si="124"/>
        <v>1.213254258709711</v>
      </c>
      <c r="L239" s="581">
        <f t="shared" si="124"/>
        <v>0.9317504957600631</v>
      </c>
      <c r="M239" s="581">
        <f t="shared" si="124"/>
        <v>1.0001473820751783</v>
      </c>
      <c r="N239" s="581">
        <f t="shared" si="124"/>
        <v>1.0212673576012818</v>
      </c>
      <c r="O239" s="581">
        <f t="shared" si="124"/>
        <v>1.0352374189844114</v>
      </c>
      <c r="P239" s="581">
        <f t="shared" si="124"/>
        <v>1.042229264543815</v>
      </c>
      <c r="Q239" s="581">
        <f t="shared" si="124"/>
        <v>1.0463280626870888</v>
      </c>
      <c r="R239" s="581">
        <f t="shared" si="124"/>
        <v>1.071961176021672</v>
      </c>
      <c r="S239" s="581">
        <f t="shared" si="124"/>
        <v>0</v>
      </c>
      <c r="T239" s="581">
        <f t="shared" si="124"/>
        <v>0</v>
      </c>
      <c r="U239" s="581">
        <f t="shared" si="124"/>
        <v>0</v>
      </c>
      <c r="V239" s="581">
        <f t="shared" si="124"/>
        <v>0</v>
      </c>
      <c r="W239" s="581">
        <f t="shared" si="124"/>
        <v>0</v>
      </c>
      <c r="X239" s="581">
        <f t="shared" si="124"/>
        <v>0</v>
      </c>
      <c r="Y239" s="581">
        <f t="shared" si="124"/>
        <v>0</v>
      </c>
      <c r="Z239" s="581">
        <f t="shared" si="124"/>
        <v>0</v>
      </c>
      <c r="AA239" s="581">
        <f t="shared" si="124"/>
        <v>0</v>
      </c>
      <c r="AB239" s="581">
        <f t="shared" si="124"/>
        <v>0</v>
      </c>
      <c r="AC239" s="581">
        <f t="shared" si="124"/>
        <v>0</v>
      </c>
      <c r="AD239" s="581">
        <f t="shared" si="124"/>
        <v>0</v>
      </c>
      <c r="AE239" s="581">
        <f t="shared" si="124"/>
        <v>0</v>
      </c>
      <c r="AF239" s="581">
        <f t="shared" si="124"/>
        <v>0</v>
      </c>
      <c r="AG239" s="581">
        <f t="shared" si="124"/>
        <v>0</v>
      </c>
      <c r="AH239" s="581">
        <f t="shared" si="124"/>
        <v>0</v>
      </c>
      <c r="AI239" s="581">
        <f t="shared" si="124"/>
        <v>0</v>
      </c>
      <c r="AJ239" s="581">
        <f t="shared" si="124"/>
        <v>0</v>
      </c>
      <c r="AK239" s="581">
        <f t="shared" si="124"/>
        <v>0</v>
      </c>
      <c r="AL239" s="581">
        <f t="shared" si="124"/>
        <v>0</v>
      </c>
      <c r="AM239" s="581">
        <f t="shared" si="124"/>
        <v>0</v>
      </c>
      <c r="AN239" s="582">
        <f t="shared" si="124"/>
        <v>0</v>
      </c>
    </row>
    <row r="240" spans="6:40" ht="15" customHeight="1" outlineLevel="2">
      <c r="F240" s="390" t="s">
        <v>226</v>
      </c>
      <c r="G240" s="583" t="s">
        <v>450</v>
      </c>
      <c r="H240" s="584">
        <f aca="true" t="shared" si="125" ref="H240:AN240">+IF(G22&lt;&gt;0,H22/G22,0)</f>
        <v>1.034254223699442</v>
      </c>
      <c r="I240" s="584">
        <f t="shared" si="125"/>
        <v>1.1706291235037203</v>
      </c>
      <c r="J240" s="585">
        <f t="shared" si="125"/>
        <v>0.9266516469848526</v>
      </c>
      <c r="K240" s="586">
        <f t="shared" si="125"/>
        <v>1.1493663572230783</v>
      </c>
      <c r="L240" s="587">
        <f t="shared" si="125"/>
        <v>0.9809233357199252</v>
      </c>
      <c r="M240" s="587">
        <f t="shared" si="125"/>
        <v>1.0043038561517015</v>
      </c>
      <c r="N240" s="587">
        <f t="shared" si="125"/>
        <v>1.0298848987170672</v>
      </c>
      <c r="O240" s="587">
        <f t="shared" si="125"/>
        <v>1.0379679348710178</v>
      </c>
      <c r="P240" s="587">
        <f t="shared" si="125"/>
        <v>1.0380998462695994</v>
      </c>
      <c r="Q240" s="587">
        <f t="shared" si="125"/>
        <v>1.0359139216258089</v>
      </c>
      <c r="R240" s="587">
        <f t="shared" si="125"/>
        <v>1.0393217742013308</v>
      </c>
      <c r="S240" s="587">
        <f t="shared" si="125"/>
        <v>0</v>
      </c>
      <c r="T240" s="587">
        <f t="shared" si="125"/>
        <v>0</v>
      </c>
      <c r="U240" s="587">
        <f t="shared" si="125"/>
        <v>0</v>
      </c>
      <c r="V240" s="587">
        <f t="shared" si="125"/>
        <v>0</v>
      </c>
      <c r="W240" s="587">
        <f t="shared" si="125"/>
        <v>0</v>
      </c>
      <c r="X240" s="587">
        <f t="shared" si="125"/>
        <v>0</v>
      </c>
      <c r="Y240" s="587">
        <f t="shared" si="125"/>
        <v>0</v>
      </c>
      <c r="Z240" s="587">
        <f t="shared" si="125"/>
        <v>0</v>
      </c>
      <c r="AA240" s="587">
        <f t="shared" si="125"/>
        <v>0</v>
      </c>
      <c r="AB240" s="587">
        <f t="shared" si="125"/>
        <v>0</v>
      </c>
      <c r="AC240" s="587">
        <f t="shared" si="125"/>
        <v>0</v>
      </c>
      <c r="AD240" s="587">
        <f t="shared" si="125"/>
        <v>0</v>
      </c>
      <c r="AE240" s="587">
        <f t="shared" si="125"/>
        <v>0</v>
      </c>
      <c r="AF240" s="587">
        <f t="shared" si="125"/>
        <v>0</v>
      </c>
      <c r="AG240" s="587">
        <f t="shared" si="125"/>
        <v>0</v>
      </c>
      <c r="AH240" s="587">
        <f t="shared" si="125"/>
        <v>0</v>
      </c>
      <c r="AI240" s="587">
        <f t="shared" si="125"/>
        <v>0</v>
      </c>
      <c r="AJ240" s="587">
        <f t="shared" si="125"/>
        <v>0</v>
      </c>
      <c r="AK240" s="587">
        <f t="shared" si="125"/>
        <v>0</v>
      </c>
      <c r="AL240" s="587">
        <f t="shared" si="125"/>
        <v>0</v>
      </c>
      <c r="AM240" s="587">
        <f t="shared" si="125"/>
        <v>0</v>
      </c>
      <c r="AN240" s="588">
        <f t="shared" si="125"/>
        <v>0</v>
      </c>
    </row>
    <row r="241" spans="6:40" ht="14.25" outlineLevel="2">
      <c r="F241" s="391" t="s">
        <v>418</v>
      </c>
      <c r="G241" s="583" t="s">
        <v>450</v>
      </c>
      <c r="H241" s="584">
        <f aca="true" t="shared" si="126" ref="H241:AN241">+IF((G22-G26)&lt;&gt;0,(H22-H26)/(G22-G26),0)</f>
        <v>1.0276049810589987</v>
      </c>
      <c r="I241" s="584">
        <f t="shared" si="126"/>
        <v>1.171491308908031</v>
      </c>
      <c r="J241" s="585">
        <f t="shared" si="126"/>
        <v>0.9265584434850043</v>
      </c>
      <c r="K241" s="586">
        <f t="shared" si="126"/>
        <v>1.1510269039151768</v>
      </c>
      <c r="L241" s="587">
        <f t="shared" si="126"/>
        <v>0.9831085108488092</v>
      </c>
      <c r="M241" s="587">
        <f t="shared" si="126"/>
        <v>1.0075305154098153</v>
      </c>
      <c r="N241" s="587">
        <f t="shared" si="126"/>
        <v>1.0313775262318243</v>
      </c>
      <c r="O241" s="587">
        <f t="shared" si="126"/>
        <v>1.0400000001211627</v>
      </c>
      <c r="P241" s="587">
        <f t="shared" si="126"/>
        <v>1.039999999980583</v>
      </c>
      <c r="Q241" s="587">
        <f t="shared" si="126"/>
        <v>1.039999999943989</v>
      </c>
      <c r="R241" s="587">
        <f t="shared" si="126"/>
        <v>1.0400000000538567</v>
      </c>
      <c r="S241" s="587">
        <f t="shared" si="126"/>
        <v>0</v>
      </c>
      <c r="T241" s="587">
        <f t="shared" si="126"/>
        <v>0</v>
      </c>
      <c r="U241" s="587">
        <f t="shared" si="126"/>
        <v>0</v>
      </c>
      <c r="V241" s="587">
        <f t="shared" si="126"/>
        <v>0</v>
      </c>
      <c r="W241" s="587">
        <f t="shared" si="126"/>
        <v>0</v>
      </c>
      <c r="X241" s="587">
        <f t="shared" si="126"/>
        <v>0</v>
      </c>
      <c r="Y241" s="587">
        <f t="shared" si="126"/>
        <v>0</v>
      </c>
      <c r="Z241" s="587">
        <f t="shared" si="126"/>
        <v>0</v>
      </c>
      <c r="AA241" s="587">
        <f t="shared" si="126"/>
        <v>0</v>
      </c>
      <c r="AB241" s="587">
        <f t="shared" si="126"/>
        <v>0</v>
      </c>
      <c r="AC241" s="587">
        <f t="shared" si="126"/>
        <v>0</v>
      </c>
      <c r="AD241" s="587">
        <f t="shared" si="126"/>
        <v>0</v>
      </c>
      <c r="AE241" s="587">
        <f t="shared" si="126"/>
        <v>0</v>
      </c>
      <c r="AF241" s="587">
        <f t="shared" si="126"/>
        <v>0</v>
      </c>
      <c r="AG241" s="587">
        <f t="shared" si="126"/>
        <v>0</v>
      </c>
      <c r="AH241" s="587">
        <f t="shared" si="126"/>
        <v>0</v>
      </c>
      <c r="AI241" s="587">
        <f t="shared" si="126"/>
        <v>0</v>
      </c>
      <c r="AJ241" s="587">
        <f t="shared" si="126"/>
        <v>0</v>
      </c>
      <c r="AK241" s="587">
        <f t="shared" si="126"/>
        <v>0</v>
      </c>
      <c r="AL241" s="587">
        <f t="shared" si="126"/>
        <v>0</v>
      </c>
      <c r="AM241" s="587">
        <f t="shared" si="126"/>
        <v>0</v>
      </c>
      <c r="AN241" s="588">
        <f t="shared" si="126"/>
        <v>0</v>
      </c>
    </row>
    <row r="242" spans="6:40" ht="24" customHeight="1" outlineLevel="2">
      <c r="F242" s="391" t="s">
        <v>420</v>
      </c>
      <c r="G242" s="583" t="s">
        <v>450</v>
      </c>
      <c r="H242" s="584">
        <f aca="true" t="shared" si="127" ref="H242:AN242">+IF(G83&lt;&gt;0,H83/G83,0)</f>
        <v>1.060544022267739</v>
      </c>
      <c r="I242" s="584">
        <f t="shared" si="127"/>
        <v>1.6429483300500496</v>
      </c>
      <c r="J242" s="585">
        <f t="shared" si="127"/>
        <v>0.9536726869788855</v>
      </c>
      <c r="K242" s="586">
        <f t="shared" si="127"/>
        <v>0.05525694148881935</v>
      </c>
      <c r="L242" s="587">
        <f t="shared" si="127"/>
        <v>18.856505357142854</v>
      </c>
      <c r="M242" s="587">
        <f t="shared" si="127"/>
        <v>0.549961142941417</v>
      </c>
      <c r="N242" s="587">
        <f t="shared" si="127"/>
        <v>0</v>
      </c>
      <c r="O242" s="587">
        <f t="shared" si="127"/>
        <v>0</v>
      </c>
      <c r="P242" s="587">
        <f t="shared" si="127"/>
        <v>0</v>
      </c>
      <c r="Q242" s="587">
        <f t="shared" si="127"/>
        <v>0</v>
      </c>
      <c r="R242" s="587">
        <f t="shared" si="127"/>
        <v>0</v>
      </c>
      <c r="S242" s="587">
        <f t="shared" si="127"/>
        <v>0</v>
      </c>
      <c r="T242" s="587">
        <f t="shared" si="127"/>
        <v>0</v>
      </c>
      <c r="U242" s="587">
        <f t="shared" si="127"/>
        <v>0</v>
      </c>
      <c r="V242" s="587">
        <f t="shared" si="127"/>
        <v>0</v>
      </c>
      <c r="W242" s="587">
        <f t="shared" si="127"/>
        <v>0</v>
      </c>
      <c r="X242" s="587">
        <f t="shared" si="127"/>
        <v>0</v>
      </c>
      <c r="Y242" s="587">
        <f t="shared" si="127"/>
        <v>0</v>
      </c>
      <c r="Z242" s="587">
        <f t="shared" si="127"/>
        <v>0</v>
      </c>
      <c r="AA242" s="587">
        <f t="shared" si="127"/>
        <v>0</v>
      </c>
      <c r="AB242" s="587">
        <f t="shared" si="127"/>
        <v>0</v>
      </c>
      <c r="AC242" s="587">
        <f t="shared" si="127"/>
        <v>0</v>
      </c>
      <c r="AD242" s="587">
        <f t="shared" si="127"/>
        <v>0</v>
      </c>
      <c r="AE242" s="587">
        <f t="shared" si="127"/>
        <v>0</v>
      </c>
      <c r="AF242" s="587">
        <f t="shared" si="127"/>
        <v>0</v>
      </c>
      <c r="AG242" s="587">
        <f t="shared" si="127"/>
        <v>0</v>
      </c>
      <c r="AH242" s="587">
        <f t="shared" si="127"/>
        <v>0</v>
      </c>
      <c r="AI242" s="587">
        <f t="shared" si="127"/>
        <v>0</v>
      </c>
      <c r="AJ242" s="587">
        <f t="shared" si="127"/>
        <v>0</v>
      </c>
      <c r="AK242" s="587">
        <f t="shared" si="127"/>
        <v>0</v>
      </c>
      <c r="AL242" s="587">
        <f t="shared" si="127"/>
        <v>0</v>
      </c>
      <c r="AM242" s="587">
        <f t="shared" si="127"/>
        <v>0</v>
      </c>
      <c r="AN242" s="588">
        <f t="shared" si="127"/>
        <v>0</v>
      </c>
    </row>
    <row r="243" spans="6:40" ht="15" customHeight="1" outlineLevel="2">
      <c r="F243" s="391" t="s">
        <v>229</v>
      </c>
      <c r="G243" s="583" t="s">
        <v>450</v>
      </c>
      <c r="H243" s="584">
        <f aca="true" t="shared" si="128" ref="H243:AN243">+IF(G23&lt;&gt;0,H23/G23,0)</f>
        <v>0</v>
      </c>
      <c r="I243" s="584">
        <f t="shared" si="128"/>
        <v>0</v>
      </c>
      <c r="J243" s="585">
        <f t="shared" si="128"/>
        <v>0</v>
      </c>
      <c r="K243" s="586">
        <f t="shared" si="128"/>
        <v>0</v>
      </c>
      <c r="L243" s="587">
        <f t="shared" si="128"/>
        <v>0</v>
      </c>
      <c r="M243" s="587">
        <f t="shared" si="128"/>
        <v>0</v>
      </c>
      <c r="N243" s="587">
        <f t="shared" si="128"/>
        <v>0</v>
      </c>
      <c r="O243" s="587">
        <f t="shared" si="128"/>
        <v>0</v>
      </c>
      <c r="P243" s="587">
        <f t="shared" si="128"/>
        <v>0</v>
      </c>
      <c r="Q243" s="587">
        <f t="shared" si="128"/>
        <v>0</v>
      </c>
      <c r="R243" s="587">
        <f t="shared" si="128"/>
        <v>0</v>
      </c>
      <c r="S243" s="587">
        <f t="shared" si="128"/>
        <v>0</v>
      </c>
      <c r="T243" s="587">
        <f t="shared" si="128"/>
        <v>0</v>
      </c>
      <c r="U243" s="587">
        <f t="shared" si="128"/>
        <v>0</v>
      </c>
      <c r="V243" s="587">
        <f t="shared" si="128"/>
        <v>0</v>
      </c>
      <c r="W243" s="587">
        <f t="shared" si="128"/>
        <v>0</v>
      </c>
      <c r="X243" s="587">
        <f t="shared" si="128"/>
        <v>0</v>
      </c>
      <c r="Y243" s="587">
        <f t="shared" si="128"/>
        <v>0</v>
      </c>
      <c r="Z243" s="587">
        <f t="shared" si="128"/>
        <v>0</v>
      </c>
      <c r="AA243" s="587">
        <f t="shared" si="128"/>
        <v>0</v>
      </c>
      <c r="AB243" s="587">
        <f t="shared" si="128"/>
        <v>0</v>
      </c>
      <c r="AC243" s="587">
        <f t="shared" si="128"/>
        <v>0</v>
      </c>
      <c r="AD243" s="587">
        <f t="shared" si="128"/>
        <v>0</v>
      </c>
      <c r="AE243" s="587">
        <f t="shared" si="128"/>
        <v>0</v>
      </c>
      <c r="AF243" s="587">
        <f t="shared" si="128"/>
        <v>0</v>
      </c>
      <c r="AG243" s="587">
        <f t="shared" si="128"/>
        <v>0</v>
      </c>
      <c r="AH243" s="587">
        <f t="shared" si="128"/>
        <v>0</v>
      </c>
      <c r="AI243" s="587">
        <f t="shared" si="128"/>
        <v>0</v>
      </c>
      <c r="AJ243" s="587">
        <f t="shared" si="128"/>
        <v>0</v>
      </c>
      <c r="AK243" s="587">
        <f t="shared" si="128"/>
        <v>0</v>
      </c>
      <c r="AL243" s="587">
        <f t="shared" si="128"/>
        <v>0</v>
      </c>
      <c r="AM243" s="587">
        <f t="shared" si="128"/>
        <v>0</v>
      </c>
      <c r="AN243" s="588">
        <f t="shared" si="128"/>
        <v>0</v>
      </c>
    </row>
    <row r="244" spans="6:40" ht="36" outlineLevel="2">
      <c r="F244" s="394" t="s">
        <v>419</v>
      </c>
      <c r="G244" s="583" t="s">
        <v>450</v>
      </c>
      <c r="H244" s="584">
        <f aca="true" t="shared" si="129" ref="H244:AN244">+IF(G24&lt;&gt;0,H24/G24,0)</f>
        <v>0</v>
      </c>
      <c r="I244" s="584">
        <f t="shared" si="129"/>
        <v>0</v>
      </c>
      <c r="J244" s="585">
        <f t="shared" si="129"/>
        <v>0</v>
      </c>
      <c r="K244" s="586">
        <f t="shared" si="129"/>
        <v>0</v>
      </c>
      <c r="L244" s="587">
        <f t="shared" si="129"/>
        <v>0</v>
      </c>
      <c r="M244" s="587">
        <f t="shared" si="129"/>
        <v>0</v>
      </c>
      <c r="N244" s="587">
        <f t="shared" si="129"/>
        <v>0</v>
      </c>
      <c r="O244" s="587">
        <f t="shared" si="129"/>
        <v>0</v>
      </c>
      <c r="P244" s="587">
        <f t="shared" si="129"/>
        <v>0</v>
      </c>
      <c r="Q244" s="587">
        <f t="shared" si="129"/>
        <v>0</v>
      </c>
      <c r="R244" s="587">
        <f t="shared" si="129"/>
        <v>0</v>
      </c>
      <c r="S244" s="587">
        <f t="shared" si="129"/>
        <v>0</v>
      </c>
      <c r="T244" s="587">
        <f t="shared" si="129"/>
        <v>0</v>
      </c>
      <c r="U244" s="587">
        <f t="shared" si="129"/>
        <v>0</v>
      </c>
      <c r="V244" s="587">
        <f t="shared" si="129"/>
        <v>0</v>
      </c>
      <c r="W244" s="587">
        <f t="shared" si="129"/>
        <v>0</v>
      </c>
      <c r="X244" s="587">
        <f t="shared" si="129"/>
        <v>0</v>
      </c>
      <c r="Y244" s="587">
        <f t="shared" si="129"/>
        <v>0</v>
      </c>
      <c r="Z244" s="587">
        <f t="shared" si="129"/>
        <v>0</v>
      </c>
      <c r="AA244" s="587">
        <f t="shared" si="129"/>
        <v>0</v>
      </c>
      <c r="AB244" s="587">
        <f t="shared" si="129"/>
        <v>0</v>
      </c>
      <c r="AC244" s="587">
        <f t="shared" si="129"/>
        <v>0</v>
      </c>
      <c r="AD244" s="587">
        <f t="shared" si="129"/>
        <v>0</v>
      </c>
      <c r="AE244" s="587">
        <f t="shared" si="129"/>
        <v>0</v>
      </c>
      <c r="AF244" s="587">
        <f t="shared" si="129"/>
        <v>0</v>
      </c>
      <c r="AG244" s="587">
        <f t="shared" si="129"/>
        <v>0</v>
      </c>
      <c r="AH244" s="587">
        <f t="shared" si="129"/>
        <v>0</v>
      </c>
      <c r="AI244" s="587">
        <f t="shared" si="129"/>
        <v>0</v>
      </c>
      <c r="AJ244" s="587">
        <f t="shared" si="129"/>
        <v>0</v>
      </c>
      <c r="AK244" s="587">
        <f t="shared" si="129"/>
        <v>0</v>
      </c>
      <c r="AL244" s="587">
        <f t="shared" si="129"/>
        <v>0</v>
      </c>
      <c r="AM244" s="587">
        <f t="shared" si="129"/>
        <v>0</v>
      </c>
      <c r="AN244" s="588">
        <f t="shared" si="129"/>
        <v>0</v>
      </c>
    </row>
    <row r="245" spans="6:40" ht="15" customHeight="1" outlineLevel="2">
      <c r="F245" s="391" t="s">
        <v>421</v>
      </c>
      <c r="G245" s="583" t="s">
        <v>450</v>
      </c>
      <c r="H245" s="584">
        <f aca="true" t="shared" si="130" ref="H245:AN245">+IF(G26&lt;&gt;0,H26/G26,0)</f>
        <v>1.4452355645958372</v>
      </c>
      <c r="I245" s="584">
        <f t="shared" si="130"/>
        <v>1.1327379417285055</v>
      </c>
      <c r="J245" s="585">
        <f t="shared" si="130"/>
        <v>0.930887875</v>
      </c>
      <c r="K245" s="586">
        <f t="shared" si="130"/>
        <v>1.0742432325697657</v>
      </c>
      <c r="L245" s="587">
        <f t="shared" si="130"/>
        <v>0.875</v>
      </c>
      <c r="M245" s="587">
        <f t="shared" si="130"/>
        <v>0.8285714285714286</v>
      </c>
      <c r="N245" s="587">
        <f t="shared" si="130"/>
        <v>0.9310344827586207</v>
      </c>
      <c r="O245" s="587">
        <f t="shared" si="130"/>
        <v>0.8888888888888888</v>
      </c>
      <c r="P245" s="587">
        <f t="shared" si="130"/>
        <v>0.875</v>
      </c>
      <c r="Q245" s="587">
        <f t="shared" si="130"/>
        <v>0.6190476190476191</v>
      </c>
      <c r="R245" s="587">
        <f t="shared" si="130"/>
        <v>0.9230769230769231</v>
      </c>
      <c r="S245" s="587">
        <f t="shared" si="130"/>
        <v>0</v>
      </c>
      <c r="T245" s="587">
        <f t="shared" si="130"/>
        <v>0</v>
      </c>
      <c r="U245" s="587">
        <f t="shared" si="130"/>
        <v>0</v>
      </c>
      <c r="V245" s="587">
        <f t="shared" si="130"/>
        <v>0</v>
      </c>
      <c r="W245" s="587">
        <f t="shared" si="130"/>
        <v>0</v>
      </c>
      <c r="X245" s="587">
        <f t="shared" si="130"/>
        <v>0</v>
      </c>
      <c r="Y245" s="587">
        <f t="shared" si="130"/>
        <v>0</v>
      </c>
      <c r="Z245" s="587">
        <f t="shared" si="130"/>
        <v>0</v>
      </c>
      <c r="AA245" s="587">
        <f t="shared" si="130"/>
        <v>0</v>
      </c>
      <c r="AB245" s="587">
        <f t="shared" si="130"/>
        <v>0</v>
      </c>
      <c r="AC245" s="587">
        <f t="shared" si="130"/>
        <v>0</v>
      </c>
      <c r="AD245" s="587">
        <f t="shared" si="130"/>
        <v>0</v>
      </c>
      <c r="AE245" s="587">
        <f t="shared" si="130"/>
        <v>0</v>
      </c>
      <c r="AF245" s="587">
        <f t="shared" si="130"/>
        <v>0</v>
      </c>
      <c r="AG245" s="587">
        <f t="shared" si="130"/>
        <v>0</v>
      </c>
      <c r="AH245" s="587">
        <f t="shared" si="130"/>
        <v>0</v>
      </c>
      <c r="AI245" s="587">
        <f t="shared" si="130"/>
        <v>0</v>
      </c>
      <c r="AJ245" s="587">
        <f t="shared" si="130"/>
        <v>0</v>
      </c>
      <c r="AK245" s="587">
        <f t="shared" si="130"/>
        <v>0</v>
      </c>
      <c r="AL245" s="587">
        <f t="shared" si="130"/>
        <v>0</v>
      </c>
      <c r="AM245" s="587">
        <f t="shared" si="130"/>
        <v>0</v>
      </c>
      <c r="AN245" s="588">
        <f t="shared" si="130"/>
        <v>0</v>
      </c>
    </row>
    <row r="246" spans="6:40" ht="15" customHeight="1" outlineLevel="2">
      <c r="F246" s="394" t="s">
        <v>422</v>
      </c>
      <c r="G246" s="583" t="s">
        <v>450</v>
      </c>
      <c r="H246" s="584">
        <f aca="true" t="shared" si="131" ref="H246:AN246">+IF(G27&lt;&gt;0,H27/G27,0)</f>
        <v>1.4452355645958372</v>
      </c>
      <c r="I246" s="584">
        <f t="shared" si="131"/>
        <v>1.1327379417285055</v>
      </c>
      <c r="J246" s="585">
        <f t="shared" si="131"/>
        <v>0.930887875</v>
      </c>
      <c r="K246" s="586">
        <f t="shared" si="131"/>
        <v>1.0742432325697657</v>
      </c>
      <c r="L246" s="587">
        <f t="shared" si="131"/>
        <v>0.875</v>
      </c>
      <c r="M246" s="587">
        <f t="shared" si="131"/>
        <v>0.8285714285714286</v>
      </c>
      <c r="N246" s="587">
        <f t="shared" si="131"/>
        <v>0.9310344827586207</v>
      </c>
      <c r="O246" s="587">
        <f t="shared" si="131"/>
        <v>0.8888888888888888</v>
      </c>
      <c r="P246" s="587">
        <f t="shared" si="131"/>
        <v>0.875</v>
      </c>
      <c r="Q246" s="587">
        <f t="shared" si="131"/>
        <v>0.6190476190476191</v>
      </c>
      <c r="R246" s="587">
        <f t="shared" si="131"/>
        <v>0.9230769230769231</v>
      </c>
      <c r="S246" s="587">
        <f t="shared" si="131"/>
        <v>0</v>
      </c>
      <c r="T246" s="587">
        <f t="shared" si="131"/>
        <v>0</v>
      </c>
      <c r="U246" s="587">
        <f t="shared" si="131"/>
        <v>0</v>
      </c>
      <c r="V246" s="587">
        <f t="shared" si="131"/>
        <v>0</v>
      </c>
      <c r="W246" s="587">
        <f t="shared" si="131"/>
        <v>0</v>
      </c>
      <c r="X246" s="587">
        <f t="shared" si="131"/>
        <v>0</v>
      </c>
      <c r="Y246" s="587">
        <f t="shared" si="131"/>
        <v>0</v>
      </c>
      <c r="Z246" s="587">
        <f t="shared" si="131"/>
        <v>0</v>
      </c>
      <c r="AA246" s="587">
        <f t="shared" si="131"/>
        <v>0</v>
      </c>
      <c r="AB246" s="587">
        <f t="shared" si="131"/>
        <v>0</v>
      </c>
      <c r="AC246" s="587">
        <f t="shared" si="131"/>
        <v>0</v>
      </c>
      <c r="AD246" s="587">
        <f t="shared" si="131"/>
        <v>0</v>
      </c>
      <c r="AE246" s="587">
        <f t="shared" si="131"/>
        <v>0</v>
      </c>
      <c r="AF246" s="587">
        <f t="shared" si="131"/>
        <v>0</v>
      </c>
      <c r="AG246" s="587">
        <f t="shared" si="131"/>
        <v>0</v>
      </c>
      <c r="AH246" s="587">
        <f t="shared" si="131"/>
        <v>0</v>
      </c>
      <c r="AI246" s="587">
        <f t="shared" si="131"/>
        <v>0</v>
      </c>
      <c r="AJ246" s="587">
        <f t="shared" si="131"/>
        <v>0</v>
      </c>
      <c r="AK246" s="587">
        <f t="shared" si="131"/>
        <v>0</v>
      </c>
      <c r="AL246" s="587">
        <f t="shared" si="131"/>
        <v>0</v>
      </c>
      <c r="AM246" s="587">
        <f t="shared" si="131"/>
        <v>0</v>
      </c>
      <c r="AN246" s="588">
        <f t="shared" si="131"/>
        <v>0</v>
      </c>
    </row>
    <row r="247" spans="6:40" ht="15" customHeight="1" outlineLevel="2">
      <c r="F247" s="390" t="s">
        <v>423</v>
      </c>
      <c r="G247" s="583" t="s">
        <v>450</v>
      </c>
      <c r="H247" s="598">
        <f aca="true" t="shared" si="132" ref="H247:AN247">+IF(G28&lt;&gt;0,H28/G28,0)</f>
        <v>0.42660562808476454</v>
      </c>
      <c r="I247" s="598">
        <f t="shared" si="132"/>
        <v>1.242428004869201</v>
      </c>
      <c r="J247" s="598">
        <f t="shared" si="132"/>
        <v>0.665085784074255</v>
      </c>
      <c r="K247" s="587">
        <f t="shared" si="132"/>
        <v>2.163813824179636</v>
      </c>
      <c r="L247" s="587">
        <f t="shared" si="132"/>
        <v>0.5431309904153354</v>
      </c>
      <c r="M247" s="587">
        <f t="shared" si="132"/>
        <v>0.9408200441176471</v>
      </c>
      <c r="N247" s="587">
        <f t="shared" si="132"/>
        <v>0.8899652435563763</v>
      </c>
      <c r="O247" s="587">
        <f t="shared" si="132"/>
        <v>0.9870926944718856</v>
      </c>
      <c r="P247" s="587">
        <f t="shared" si="132"/>
        <v>1.1187922524051375</v>
      </c>
      <c r="Q247" s="587">
        <f t="shared" si="132"/>
        <v>1.2254889193993161</v>
      </c>
      <c r="R247" s="587">
        <f t="shared" si="132"/>
        <v>1.5466140842479286</v>
      </c>
      <c r="S247" s="587">
        <f t="shared" si="132"/>
        <v>0</v>
      </c>
      <c r="T247" s="587">
        <f t="shared" si="132"/>
        <v>0</v>
      </c>
      <c r="U247" s="587">
        <f t="shared" si="132"/>
        <v>0</v>
      </c>
      <c r="V247" s="587">
        <f t="shared" si="132"/>
        <v>0</v>
      </c>
      <c r="W247" s="587">
        <f t="shared" si="132"/>
        <v>0</v>
      </c>
      <c r="X247" s="587">
        <f t="shared" si="132"/>
        <v>0</v>
      </c>
      <c r="Y247" s="587">
        <f t="shared" si="132"/>
        <v>0</v>
      </c>
      <c r="Z247" s="587">
        <f t="shared" si="132"/>
        <v>0</v>
      </c>
      <c r="AA247" s="587">
        <f t="shared" si="132"/>
        <v>0</v>
      </c>
      <c r="AB247" s="587">
        <f t="shared" si="132"/>
        <v>0</v>
      </c>
      <c r="AC247" s="587">
        <f t="shared" si="132"/>
        <v>0</v>
      </c>
      <c r="AD247" s="587">
        <f t="shared" si="132"/>
        <v>0</v>
      </c>
      <c r="AE247" s="587">
        <f t="shared" si="132"/>
        <v>0</v>
      </c>
      <c r="AF247" s="587">
        <f t="shared" si="132"/>
        <v>0</v>
      </c>
      <c r="AG247" s="587">
        <f t="shared" si="132"/>
        <v>0</v>
      </c>
      <c r="AH247" s="587">
        <f t="shared" si="132"/>
        <v>0</v>
      </c>
      <c r="AI247" s="587">
        <f t="shared" si="132"/>
        <v>0</v>
      </c>
      <c r="AJ247" s="587">
        <f t="shared" si="132"/>
        <v>0</v>
      </c>
      <c r="AK247" s="587">
        <f t="shared" si="132"/>
        <v>0</v>
      </c>
      <c r="AL247" s="587">
        <f t="shared" si="132"/>
        <v>0</v>
      </c>
      <c r="AM247" s="587">
        <f t="shared" si="132"/>
        <v>0</v>
      </c>
      <c r="AN247" s="588">
        <f t="shared" si="132"/>
        <v>0</v>
      </c>
    </row>
    <row r="248" spans="6:40" ht="24" customHeight="1" outlineLevel="2">
      <c r="F248" s="393" t="s">
        <v>420</v>
      </c>
      <c r="G248" s="599" t="s">
        <v>450</v>
      </c>
      <c r="H248" s="600">
        <f aca="true" t="shared" si="133" ref="H248:AN248">+IF(G86&lt;&gt;0,H86/G86,0)</f>
        <v>1.3607962572569945</v>
      </c>
      <c r="I248" s="600">
        <f t="shared" si="133"/>
        <v>1.95997001197244</v>
      </c>
      <c r="J248" s="601">
        <f t="shared" si="133"/>
        <v>0.9381795796918161</v>
      </c>
      <c r="K248" s="595">
        <f t="shared" si="133"/>
        <v>0</v>
      </c>
      <c r="L248" s="596">
        <f t="shared" si="133"/>
        <v>0</v>
      </c>
      <c r="M248" s="596">
        <f t="shared" si="133"/>
        <v>0</v>
      </c>
      <c r="N248" s="596">
        <f t="shared" si="133"/>
        <v>0</v>
      </c>
      <c r="O248" s="596">
        <f t="shared" si="133"/>
        <v>0</v>
      </c>
      <c r="P248" s="596">
        <f t="shared" si="133"/>
        <v>0</v>
      </c>
      <c r="Q248" s="596">
        <f t="shared" si="133"/>
        <v>0</v>
      </c>
      <c r="R248" s="596">
        <f t="shared" si="133"/>
        <v>0</v>
      </c>
      <c r="S248" s="596">
        <f t="shared" si="133"/>
        <v>0</v>
      </c>
      <c r="T248" s="596">
        <f t="shared" si="133"/>
        <v>0</v>
      </c>
      <c r="U248" s="596">
        <f t="shared" si="133"/>
        <v>0</v>
      </c>
      <c r="V248" s="596">
        <f t="shared" si="133"/>
        <v>0</v>
      </c>
      <c r="W248" s="596">
        <f t="shared" si="133"/>
        <v>0</v>
      </c>
      <c r="X248" s="596">
        <f t="shared" si="133"/>
        <v>0</v>
      </c>
      <c r="Y248" s="596">
        <f t="shared" si="133"/>
        <v>0</v>
      </c>
      <c r="Z248" s="596">
        <f t="shared" si="133"/>
        <v>0</v>
      </c>
      <c r="AA248" s="596">
        <f t="shared" si="133"/>
        <v>0</v>
      </c>
      <c r="AB248" s="596">
        <f t="shared" si="133"/>
        <v>0</v>
      </c>
      <c r="AC248" s="596">
        <f t="shared" si="133"/>
        <v>0</v>
      </c>
      <c r="AD248" s="596">
        <f t="shared" si="133"/>
        <v>0</v>
      </c>
      <c r="AE248" s="596">
        <f t="shared" si="133"/>
        <v>0</v>
      </c>
      <c r="AF248" s="596">
        <f t="shared" si="133"/>
        <v>0</v>
      </c>
      <c r="AG248" s="596">
        <f t="shared" si="133"/>
        <v>0</v>
      </c>
      <c r="AH248" s="596">
        <f t="shared" si="133"/>
        <v>0</v>
      </c>
      <c r="AI248" s="596">
        <f t="shared" si="133"/>
        <v>0</v>
      </c>
      <c r="AJ248" s="596">
        <f t="shared" si="133"/>
        <v>0</v>
      </c>
      <c r="AK248" s="596">
        <f t="shared" si="133"/>
        <v>0</v>
      </c>
      <c r="AL248" s="596">
        <f t="shared" si="133"/>
        <v>0</v>
      </c>
      <c r="AM248" s="596">
        <f t="shared" si="133"/>
        <v>0</v>
      </c>
      <c r="AN248" s="597">
        <f t="shared" si="133"/>
        <v>0</v>
      </c>
    </row>
    <row r="249" spans="6:40" ht="24" outlineLevel="2">
      <c r="F249" s="395" t="s">
        <v>424</v>
      </c>
      <c r="G249" s="602"/>
      <c r="H249" s="602"/>
      <c r="I249" s="602"/>
      <c r="J249" s="602"/>
      <c r="K249" s="603"/>
      <c r="L249" s="604"/>
      <c r="M249" s="604"/>
      <c r="N249" s="604"/>
      <c r="O249" s="604"/>
      <c r="P249" s="604"/>
      <c r="Q249" s="604"/>
      <c r="R249" s="604"/>
      <c r="S249" s="604"/>
      <c r="T249" s="604"/>
      <c r="U249" s="604"/>
      <c r="V249" s="604"/>
      <c r="W249" s="604"/>
      <c r="X249" s="604"/>
      <c r="Y249" s="604"/>
      <c r="Z249" s="604"/>
      <c r="AA249" s="604"/>
      <c r="AB249" s="604"/>
      <c r="AC249" s="604"/>
      <c r="AD249" s="604"/>
      <c r="AE249" s="604"/>
      <c r="AF249" s="604"/>
      <c r="AG249" s="604"/>
      <c r="AH249" s="604"/>
      <c r="AI249" s="604"/>
      <c r="AJ249" s="604"/>
      <c r="AK249" s="604"/>
      <c r="AL249" s="604"/>
      <c r="AM249" s="604"/>
      <c r="AN249" s="604"/>
    </row>
    <row r="250" spans="6:40" ht="15" customHeight="1" outlineLevel="2">
      <c r="F250" s="396" t="s">
        <v>2</v>
      </c>
      <c r="G250" s="605" t="s">
        <v>450</v>
      </c>
      <c r="H250" s="606">
        <f aca="true" t="shared" si="134" ref="H250:AN250">+IF(G68&lt;&gt;0,H68/G68,0)</f>
        <v>1.058095344818562</v>
      </c>
      <c r="I250" s="606">
        <f t="shared" si="134"/>
        <v>1.141365892047011</v>
      </c>
      <c r="J250" s="607">
        <f t="shared" si="134"/>
        <v>0.9683944442670214</v>
      </c>
      <c r="K250" s="608">
        <f t="shared" si="134"/>
        <v>1.0490935383308566</v>
      </c>
      <c r="L250" s="609">
        <f t="shared" si="134"/>
        <v>1.0274460301047847</v>
      </c>
      <c r="M250" s="609">
        <f t="shared" si="134"/>
        <v>1.029999999548255</v>
      </c>
      <c r="N250" s="609">
        <f t="shared" si="134"/>
        <v>1.0400000004385874</v>
      </c>
      <c r="O250" s="609">
        <f t="shared" si="134"/>
        <v>1.0399999995399432</v>
      </c>
      <c r="P250" s="609">
        <f t="shared" si="134"/>
        <v>1.040000000479226</v>
      </c>
      <c r="Q250" s="609">
        <f t="shared" si="134"/>
        <v>1.040000000106337</v>
      </c>
      <c r="R250" s="609">
        <f t="shared" si="134"/>
        <v>1.0399999994887639</v>
      </c>
      <c r="S250" s="609">
        <f t="shared" si="134"/>
        <v>0</v>
      </c>
      <c r="T250" s="609">
        <f t="shared" si="134"/>
        <v>0</v>
      </c>
      <c r="U250" s="609">
        <f t="shared" si="134"/>
        <v>0</v>
      </c>
      <c r="V250" s="609">
        <f t="shared" si="134"/>
        <v>0</v>
      </c>
      <c r="W250" s="609">
        <f t="shared" si="134"/>
        <v>0</v>
      </c>
      <c r="X250" s="609">
        <f t="shared" si="134"/>
        <v>0</v>
      </c>
      <c r="Y250" s="609">
        <f t="shared" si="134"/>
        <v>0</v>
      </c>
      <c r="Z250" s="609">
        <f t="shared" si="134"/>
        <v>0</v>
      </c>
      <c r="AA250" s="609">
        <f t="shared" si="134"/>
        <v>0</v>
      </c>
      <c r="AB250" s="609">
        <f t="shared" si="134"/>
        <v>0</v>
      </c>
      <c r="AC250" s="609">
        <f t="shared" si="134"/>
        <v>0</v>
      </c>
      <c r="AD250" s="609">
        <f t="shared" si="134"/>
        <v>0</v>
      </c>
      <c r="AE250" s="609">
        <f t="shared" si="134"/>
        <v>0</v>
      </c>
      <c r="AF250" s="609">
        <f t="shared" si="134"/>
        <v>0</v>
      </c>
      <c r="AG250" s="609">
        <f t="shared" si="134"/>
        <v>0</v>
      </c>
      <c r="AH250" s="609">
        <f t="shared" si="134"/>
        <v>0</v>
      </c>
      <c r="AI250" s="609">
        <f t="shared" si="134"/>
        <v>0</v>
      </c>
      <c r="AJ250" s="609">
        <f t="shared" si="134"/>
        <v>0</v>
      </c>
      <c r="AK250" s="609">
        <f t="shared" si="134"/>
        <v>0</v>
      </c>
      <c r="AL250" s="609">
        <f t="shared" si="134"/>
        <v>0</v>
      </c>
      <c r="AM250" s="609">
        <f t="shared" si="134"/>
        <v>0</v>
      </c>
      <c r="AN250" s="610">
        <f t="shared" si="134"/>
        <v>0</v>
      </c>
    </row>
    <row r="251" spans="6:40" ht="15" customHeight="1" outlineLevel="2">
      <c r="F251" s="390" t="s">
        <v>3</v>
      </c>
      <c r="G251" s="583" t="s">
        <v>450</v>
      </c>
      <c r="H251" s="584">
        <f aca="true" t="shared" si="135" ref="H251:AN251">+IF(G69&lt;&gt;0,H69/G69,0)</f>
        <v>1.134690236914252</v>
      </c>
      <c r="I251" s="584">
        <f t="shared" si="135"/>
        <v>0</v>
      </c>
      <c r="J251" s="585">
        <f t="shared" si="135"/>
        <v>0</v>
      </c>
      <c r="K251" s="586">
        <f t="shared" si="135"/>
        <v>1.1408281060648686</v>
      </c>
      <c r="L251" s="587">
        <f t="shared" si="135"/>
        <v>1.0059241252222417</v>
      </c>
      <c r="M251" s="587">
        <f t="shared" si="135"/>
        <v>1.0119999990291288</v>
      </c>
      <c r="N251" s="587">
        <f t="shared" si="135"/>
        <v>1.0400000023590792</v>
      </c>
      <c r="O251" s="587">
        <f t="shared" si="135"/>
        <v>1.0400000004536691</v>
      </c>
      <c r="P251" s="587">
        <f t="shared" si="135"/>
        <v>1.0399999968010516</v>
      </c>
      <c r="Q251" s="587">
        <f t="shared" si="135"/>
        <v>1.0400000018175843</v>
      </c>
      <c r="R251" s="587">
        <f t="shared" si="135"/>
        <v>1.0400000002688734</v>
      </c>
      <c r="S251" s="587">
        <f t="shared" si="135"/>
        <v>0</v>
      </c>
      <c r="T251" s="587">
        <f t="shared" si="135"/>
        <v>0</v>
      </c>
      <c r="U251" s="587">
        <f t="shared" si="135"/>
        <v>0</v>
      </c>
      <c r="V251" s="587">
        <f t="shared" si="135"/>
        <v>0</v>
      </c>
      <c r="W251" s="587">
        <f t="shared" si="135"/>
        <v>0</v>
      </c>
      <c r="X251" s="587">
        <f t="shared" si="135"/>
        <v>0</v>
      </c>
      <c r="Y251" s="587">
        <f t="shared" si="135"/>
        <v>0</v>
      </c>
      <c r="Z251" s="587">
        <f t="shared" si="135"/>
        <v>0</v>
      </c>
      <c r="AA251" s="587">
        <f t="shared" si="135"/>
        <v>0</v>
      </c>
      <c r="AB251" s="587">
        <f t="shared" si="135"/>
        <v>0</v>
      </c>
      <c r="AC251" s="587">
        <f t="shared" si="135"/>
        <v>0</v>
      </c>
      <c r="AD251" s="587">
        <f t="shared" si="135"/>
        <v>0</v>
      </c>
      <c r="AE251" s="587">
        <f t="shared" si="135"/>
        <v>0</v>
      </c>
      <c r="AF251" s="587">
        <f t="shared" si="135"/>
        <v>0</v>
      </c>
      <c r="AG251" s="587">
        <f t="shared" si="135"/>
        <v>0</v>
      </c>
      <c r="AH251" s="587">
        <f t="shared" si="135"/>
        <v>0</v>
      </c>
      <c r="AI251" s="587">
        <f t="shared" si="135"/>
        <v>0</v>
      </c>
      <c r="AJ251" s="587">
        <f t="shared" si="135"/>
        <v>0</v>
      </c>
      <c r="AK251" s="587">
        <f t="shared" si="135"/>
        <v>0</v>
      </c>
      <c r="AL251" s="587">
        <f t="shared" si="135"/>
        <v>0</v>
      </c>
      <c r="AM251" s="587">
        <f t="shared" si="135"/>
        <v>0</v>
      </c>
      <c r="AN251" s="588">
        <f t="shared" si="135"/>
        <v>0</v>
      </c>
    </row>
    <row r="252" spans="6:40" ht="15" customHeight="1" outlineLevel="2">
      <c r="F252" s="390" t="s">
        <v>425</v>
      </c>
      <c r="G252" s="583" t="s">
        <v>450</v>
      </c>
      <c r="H252" s="584">
        <f aca="true" t="shared" si="136" ref="H252:AN252">+IF(G71&lt;&gt;0,H71/G71,0)</f>
        <v>0</v>
      </c>
      <c r="I252" s="584">
        <f t="shared" si="136"/>
        <v>1.4311939989245097</v>
      </c>
      <c r="J252" s="585">
        <f t="shared" si="136"/>
        <v>0.8730248903010827</v>
      </c>
      <c r="K252" s="586">
        <f t="shared" si="136"/>
        <v>0.21530804967532974</v>
      </c>
      <c r="L252" s="587">
        <f t="shared" si="136"/>
        <v>1.3492501250590156</v>
      </c>
      <c r="M252" s="587">
        <f t="shared" si="136"/>
        <v>0.549961142941417</v>
      </c>
      <c r="N252" s="587">
        <f t="shared" si="136"/>
        <v>0</v>
      </c>
      <c r="O252" s="587">
        <f t="shared" si="136"/>
        <v>0</v>
      </c>
      <c r="P252" s="587">
        <f t="shared" si="136"/>
        <v>0</v>
      </c>
      <c r="Q252" s="587">
        <f t="shared" si="136"/>
        <v>0</v>
      </c>
      <c r="R252" s="587">
        <f t="shared" si="136"/>
        <v>0</v>
      </c>
      <c r="S252" s="587">
        <f t="shared" si="136"/>
        <v>0</v>
      </c>
      <c r="T252" s="587">
        <f t="shared" si="136"/>
        <v>0</v>
      </c>
      <c r="U252" s="587">
        <f t="shared" si="136"/>
        <v>0</v>
      </c>
      <c r="V252" s="587">
        <f t="shared" si="136"/>
        <v>0</v>
      </c>
      <c r="W252" s="587">
        <f t="shared" si="136"/>
        <v>0</v>
      </c>
      <c r="X252" s="587">
        <f t="shared" si="136"/>
        <v>0</v>
      </c>
      <c r="Y252" s="587">
        <f t="shared" si="136"/>
        <v>0</v>
      </c>
      <c r="Z252" s="587">
        <f t="shared" si="136"/>
        <v>0</v>
      </c>
      <c r="AA252" s="587">
        <f t="shared" si="136"/>
        <v>0</v>
      </c>
      <c r="AB252" s="587">
        <f t="shared" si="136"/>
        <v>0</v>
      </c>
      <c r="AC252" s="587">
        <f t="shared" si="136"/>
        <v>0</v>
      </c>
      <c r="AD252" s="587">
        <f t="shared" si="136"/>
        <v>0</v>
      </c>
      <c r="AE252" s="587">
        <f t="shared" si="136"/>
        <v>0</v>
      </c>
      <c r="AF252" s="587">
        <f t="shared" si="136"/>
        <v>0</v>
      </c>
      <c r="AG252" s="587">
        <f t="shared" si="136"/>
        <v>0</v>
      </c>
      <c r="AH252" s="587">
        <f t="shared" si="136"/>
        <v>0</v>
      </c>
      <c r="AI252" s="587">
        <f t="shared" si="136"/>
        <v>0</v>
      </c>
      <c r="AJ252" s="587">
        <f t="shared" si="136"/>
        <v>0</v>
      </c>
      <c r="AK252" s="587">
        <f t="shared" si="136"/>
        <v>0</v>
      </c>
      <c r="AL252" s="587">
        <f t="shared" si="136"/>
        <v>0</v>
      </c>
      <c r="AM252" s="587">
        <f t="shared" si="136"/>
        <v>0</v>
      </c>
      <c r="AN252" s="588">
        <f t="shared" si="136"/>
        <v>0</v>
      </c>
    </row>
    <row r="253" spans="6:40" ht="15" customHeight="1" outlineLevel="2">
      <c r="F253" s="397" t="s">
        <v>426</v>
      </c>
      <c r="G253" s="599" t="s">
        <v>450</v>
      </c>
      <c r="H253" s="600">
        <f aca="true" t="shared" si="137" ref="H253:AN253">+IF(G72&lt;&gt;0,H72/G72,0)</f>
        <v>0</v>
      </c>
      <c r="I253" s="600">
        <f t="shared" si="137"/>
        <v>3.494893877564915</v>
      </c>
      <c r="J253" s="601">
        <f t="shared" si="137"/>
        <v>0.5839114531151434</v>
      </c>
      <c r="K253" s="595">
        <f t="shared" si="137"/>
        <v>3.283906906783864</v>
      </c>
      <c r="L253" s="596">
        <f t="shared" si="137"/>
        <v>0.33381712626995647</v>
      </c>
      <c r="M253" s="596">
        <f t="shared" si="137"/>
        <v>0.6456521739130435</v>
      </c>
      <c r="N253" s="596">
        <f t="shared" si="137"/>
        <v>1.5712682379349046</v>
      </c>
      <c r="O253" s="596">
        <f t="shared" si="137"/>
        <v>0</v>
      </c>
      <c r="P253" s="596">
        <f t="shared" si="137"/>
        <v>0</v>
      </c>
      <c r="Q253" s="596">
        <f t="shared" si="137"/>
        <v>0</v>
      </c>
      <c r="R253" s="596">
        <f t="shared" si="137"/>
        <v>0</v>
      </c>
      <c r="S253" s="596">
        <f t="shared" si="137"/>
        <v>0</v>
      </c>
      <c r="T253" s="596">
        <f t="shared" si="137"/>
        <v>0</v>
      </c>
      <c r="U253" s="596">
        <f t="shared" si="137"/>
        <v>0</v>
      </c>
      <c r="V253" s="596">
        <f t="shared" si="137"/>
        <v>0</v>
      </c>
      <c r="W253" s="596">
        <f t="shared" si="137"/>
        <v>0</v>
      </c>
      <c r="X253" s="596">
        <f t="shared" si="137"/>
        <v>0</v>
      </c>
      <c r="Y253" s="596">
        <f t="shared" si="137"/>
        <v>0</v>
      </c>
      <c r="Z253" s="596">
        <f t="shared" si="137"/>
        <v>0</v>
      </c>
      <c r="AA253" s="596">
        <f t="shared" si="137"/>
        <v>0</v>
      </c>
      <c r="AB253" s="596">
        <f t="shared" si="137"/>
        <v>0</v>
      </c>
      <c r="AC253" s="596">
        <f t="shared" si="137"/>
        <v>0</v>
      </c>
      <c r="AD253" s="596">
        <f t="shared" si="137"/>
        <v>0</v>
      </c>
      <c r="AE253" s="596">
        <f t="shared" si="137"/>
        <v>0</v>
      </c>
      <c r="AF253" s="596">
        <f t="shared" si="137"/>
        <v>0</v>
      </c>
      <c r="AG253" s="596">
        <f t="shared" si="137"/>
        <v>0</v>
      </c>
      <c r="AH253" s="596">
        <f t="shared" si="137"/>
        <v>0</v>
      </c>
      <c r="AI253" s="596">
        <f t="shared" si="137"/>
        <v>0</v>
      </c>
      <c r="AJ253" s="596">
        <f t="shared" si="137"/>
        <v>0</v>
      </c>
      <c r="AK253" s="596">
        <f t="shared" si="137"/>
        <v>0</v>
      </c>
      <c r="AL253" s="596">
        <f t="shared" si="137"/>
        <v>0</v>
      </c>
      <c r="AM253" s="596">
        <f t="shared" si="137"/>
        <v>0</v>
      </c>
      <c r="AN253" s="597">
        <f t="shared" si="137"/>
        <v>0</v>
      </c>
    </row>
  </sheetData>
  <sheetProtection formatCells="0" formatColumns="0" formatRows="0" insertColumns="0" insertRows="0" deleteColumns="0" deleteRows="0"/>
  <mergeCells count="149">
    <mergeCell ref="C9:F9"/>
    <mergeCell ref="C10:F10"/>
    <mergeCell ref="D11:F11"/>
    <mergeCell ref="E12:F12"/>
    <mergeCell ref="E13:F13"/>
    <mergeCell ref="E14:F14"/>
    <mergeCell ref="E16:F16"/>
    <mergeCell ref="E17:F17"/>
    <mergeCell ref="D18:F18"/>
    <mergeCell ref="E19:F19"/>
    <mergeCell ref="E20:F20"/>
    <mergeCell ref="C21:F21"/>
    <mergeCell ref="D22:F22"/>
    <mergeCell ref="E23:F23"/>
    <mergeCell ref="E25:F25"/>
    <mergeCell ref="E26:F26"/>
    <mergeCell ref="D28:F28"/>
    <mergeCell ref="C29:F29"/>
    <mergeCell ref="C30:F30"/>
    <mergeCell ref="D31:F31"/>
    <mergeCell ref="E32:F32"/>
    <mergeCell ref="D33:F33"/>
    <mergeCell ref="E34:F34"/>
    <mergeCell ref="D35:F35"/>
    <mergeCell ref="E36:F36"/>
    <mergeCell ref="D37:F37"/>
    <mergeCell ref="E38:F38"/>
    <mergeCell ref="C39:F39"/>
    <mergeCell ref="D40:F40"/>
    <mergeCell ref="E41:F41"/>
    <mergeCell ref="D43:F43"/>
    <mergeCell ref="C44:F44"/>
    <mergeCell ref="D45:F45"/>
    <mergeCell ref="E46:F46"/>
    <mergeCell ref="D47:F47"/>
    <mergeCell ref="D48:F48"/>
    <mergeCell ref="C49:F49"/>
    <mergeCell ref="C50:F50"/>
    <mergeCell ref="D51:F51"/>
    <mergeCell ref="D52:F52"/>
    <mergeCell ref="C53:F53"/>
    <mergeCell ref="D54:F54"/>
    <mergeCell ref="D55:F55"/>
    <mergeCell ref="D56:F56"/>
    <mergeCell ref="D57:F57"/>
    <mergeCell ref="D58:F58"/>
    <mergeCell ref="D59:F59"/>
    <mergeCell ref="D61:F61"/>
    <mergeCell ref="E62:F62"/>
    <mergeCell ref="D63:F63"/>
    <mergeCell ref="E64:F64"/>
    <mergeCell ref="C65:F65"/>
    <mergeCell ref="D66:F66"/>
    <mergeCell ref="C67:F67"/>
    <mergeCell ref="D68:F68"/>
    <mergeCell ref="D69:F69"/>
    <mergeCell ref="D70:F70"/>
    <mergeCell ref="E71:F71"/>
    <mergeCell ref="E72:F72"/>
    <mergeCell ref="D73:F73"/>
    <mergeCell ref="D74:F74"/>
    <mergeCell ref="D75:F75"/>
    <mergeCell ref="C76:F76"/>
    <mergeCell ref="D77:F77"/>
    <mergeCell ref="E78:F78"/>
    <mergeCell ref="D80:F80"/>
    <mergeCell ref="E81:F81"/>
    <mergeCell ref="D83:F83"/>
    <mergeCell ref="E84:F84"/>
    <mergeCell ref="E85:F85"/>
    <mergeCell ref="D86:F86"/>
    <mergeCell ref="E87:F87"/>
    <mergeCell ref="E88:F88"/>
    <mergeCell ref="C89:F89"/>
    <mergeCell ref="D90:F90"/>
    <mergeCell ref="D91:F91"/>
    <mergeCell ref="D92:F92"/>
    <mergeCell ref="D104:F104"/>
    <mergeCell ref="D93:F93"/>
    <mergeCell ref="D94:F94"/>
    <mergeCell ref="D95:F95"/>
    <mergeCell ref="D96:F96"/>
    <mergeCell ref="C97:F97"/>
    <mergeCell ref="D98:F98"/>
    <mergeCell ref="A115:E115"/>
    <mergeCell ref="A116:E116"/>
    <mergeCell ref="A117:E117"/>
    <mergeCell ref="A118:E118"/>
    <mergeCell ref="A119:E119"/>
    <mergeCell ref="D99:F99"/>
    <mergeCell ref="D100:F100"/>
    <mergeCell ref="E101:F101"/>
    <mergeCell ref="E102:F102"/>
    <mergeCell ref="E103:F103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71:E171"/>
    <mergeCell ref="A162:E162"/>
    <mergeCell ref="A163:E163"/>
    <mergeCell ref="A164:E164"/>
    <mergeCell ref="A165:E165"/>
    <mergeCell ref="A166:E166"/>
    <mergeCell ref="A167:E167"/>
    <mergeCell ref="H2:N2"/>
    <mergeCell ref="H3:O3"/>
    <mergeCell ref="H1:O1"/>
    <mergeCell ref="A168:E168"/>
    <mergeCell ref="A169:E169"/>
    <mergeCell ref="A170:E170"/>
    <mergeCell ref="A156:E156"/>
    <mergeCell ref="A157:E157"/>
    <mergeCell ref="A158:E158"/>
    <mergeCell ref="A159:E159"/>
  </mergeCells>
  <conditionalFormatting sqref="K185:AN186">
    <cfRule type="cellIs" priority="33" dxfId="39" operator="lessThan" stopIfTrue="1">
      <formula>$F$182</formula>
    </cfRule>
    <cfRule type="cellIs" priority="34" dxfId="2" operator="lessThan" stopIfTrue="1">
      <formula>$F$183</formula>
    </cfRule>
    <cfRule type="cellIs" priority="35" dxfId="13" operator="lessThan" stopIfTrue="1">
      <formula>$F$184</formula>
    </cfRule>
  </conditionalFormatting>
  <conditionalFormatting sqref="K187:AN188">
    <cfRule type="cellIs" priority="30" dxfId="39" operator="lessThan" stopIfTrue="1">
      <formula>$F$182</formula>
    </cfRule>
    <cfRule type="cellIs" priority="31" dxfId="2" operator="lessThan" stopIfTrue="1">
      <formula>$F$183</formula>
    </cfRule>
    <cfRule type="cellIs" priority="32" dxfId="13" operator="lessThan" stopIfTrue="1">
      <formula>$F$184</formula>
    </cfRule>
  </conditionalFormatting>
  <conditionalFormatting sqref="K250:AN253">
    <cfRule type="cellIs" priority="56" dxfId="4" operator="between" stopIfTrue="1">
      <formula>0.00000001</formula>
      <formula>1</formula>
    </cfRule>
    <cfRule type="cellIs" priority="57" dxfId="3" operator="greaterThan" stopIfTrue="1">
      <formula>1</formula>
    </cfRule>
  </conditionalFormatting>
  <conditionalFormatting sqref="K193:AN204">
    <cfRule type="cellIs" priority="64" dxfId="41" operator="notBetween" stopIfTrue="1">
      <formula>-$F$192</formula>
      <formula>$F$192</formula>
    </cfRule>
    <cfRule type="cellIs" priority="65" dxfId="9" operator="notBetween" stopIfTrue="1">
      <formula>-$F$191</formula>
      <formula>$F$191</formula>
    </cfRule>
    <cfRule type="cellIs" priority="66" dxfId="8" operator="notBetween" stopIfTrue="1">
      <formula>-$F$190</formula>
      <formula>$F$190</formula>
    </cfRule>
  </conditionalFormatting>
  <conditionalFormatting sqref="K63:AN64">
    <cfRule type="containsText" priority="11" dxfId="44" operator="containsText" stopIfTrue="1" text="NIE">
      <formula>NOT(ISERROR(SEARCH("NIE",K63)))</formula>
    </cfRule>
  </conditionalFormatting>
  <conditionalFormatting sqref="K123:AN123">
    <cfRule type="cellIs" priority="5" dxfId="42" operator="between" stopIfTrue="1">
      <formula>0</formula>
      <formula>100000000000</formula>
    </cfRule>
  </conditionalFormatting>
  <conditionalFormatting sqref="K124:AN126">
    <cfRule type="cellIs" priority="43" dxfId="42" operator="between" stopIfTrue="1">
      <formula>-1000000000000</formula>
      <formula>1000000000000</formula>
    </cfRule>
  </conditionalFormatting>
  <conditionalFormatting sqref="K233:AN248">
    <cfRule type="cellIs" priority="54" dxfId="4" operator="between" stopIfTrue="1">
      <formula>0.00000001</formula>
      <formula>1</formula>
    </cfRule>
    <cfRule type="cellIs" priority="55" dxfId="3" operator="greaterThan" stopIfTrue="1">
      <formula>1</formula>
    </cfRule>
  </conditionalFormatting>
  <conditionalFormatting sqref="K121:AN122">
    <cfRule type="cellIs" priority="3" dxfId="43" operator="between" stopIfTrue="1">
      <formula>-1000000000000</formula>
      <formula>1000000000000</formula>
    </cfRule>
  </conditionalFormatting>
  <conditionalFormatting sqref="K127:AN171">
    <cfRule type="cellIs" priority="2" dxfId="1" operator="equal" stopIfTrue="1">
      <formula>"BŁĄD"</formula>
    </cfRule>
  </conditionalFormatting>
  <conditionalFormatting sqref="G63:I64">
    <cfRule type="containsText" priority="1" dxfId="44" operator="containsText" stopIfTrue="1" text="NIE">
      <formula>NOT(ISERROR(SEARCH("NIE",G63)))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2013-02-25b (symulacja)&amp;C&amp;8Strona &amp;P z &amp;N&amp;R&amp;8Wydruk z dn.: &amp;D - &amp;T</oddFooter>
  </headerFooter>
  <rowBreaks count="2" manualBreakCount="2">
    <brk id="48" max="38" man="1"/>
    <brk id="75" max="38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9">
      <selection activeCell="D57" sqref="D57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47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48</v>
      </c>
      <c r="C12" s="37" t="s">
        <v>49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50</v>
      </c>
      <c r="C13" s="37" t="s">
        <v>51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52</v>
      </c>
      <c r="C14" s="37" t="s">
        <v>53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54</v>
      </c>
      <c r="C15" s="37" t="s">
        <v>55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56</v>
      </c>
      <c r="C16" s="37" t="s">
        <v>57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58</v>
      </c>
      <c r="C17" s="37" t="s">
        <v>59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60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61</v>
      </c>
      <c r="C19" s="37" t="s">
        <v>62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63</v>
      </c>
      <c r="C20" s="37" t="s">
        <v>64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65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66</v>
      </c>
      <c r="C23" s="37" t="s">
        <v>67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68</v>
      </c>
      <c r="C24" s="37" t="s">
        <v>69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70</v>
      </c>
      <c r="C25" s="37" t="s">
        <v>71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72</v>
      </c>
      <c r="C26" s="37" t="s">
        <v>73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74</v>
      </c>
      <c r="C27" s="37" t="s">
        <v>75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76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77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78</v>
      </c>
      <c r="C32" s="37" t="s">
        <v>79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80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81</v>
      </c>
      <c r="C34" s="37" t="s">
        <v>82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83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84</v>
      </c>
      <c r="C36" s="37" t="s">
        <v>82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85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86</v>
      </c>
      <c r="C38" s="37" t="s">
        <v>82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87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88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89</v>
      </c>
      <c r="C41" s="37" t="s">
        <v>90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91</v>
      </c>
      <c r="C42" s="37" t="s">
        <v>92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93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94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95</v>
      </c>
      <c r="C46" s="37" t="s">
        <v>96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97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98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99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100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101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102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103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250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104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105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106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107</v>
      </c>
      <c r="C60" s="37" t="s">
        <v>108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109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110</v>
      </c>
      <c r="C62" s="37" t="s">
        <v>111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112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113</v>
      </c>
      <c r="C64" s="37" t="s">
        <v>114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115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116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117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118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119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120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121</v>
      </c>
      <c r="C71" s="37" t="s">
        <v>122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123</v>
      </c>
      <c r="C72" s="37" t="s">
        <v>124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125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126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127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128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129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130</v>
      </c>
      <c r="C78" s="37" t="s">
        <v>131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132</v>
      </c>
      <c r="C79" s="37" t="s">
        <v>133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134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135</v>
      </c>
      <c r="C81" s="37" t="s">
        <v>136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137</v>
      </c>
      <c r="C82" s="37" t="s">
        <v>138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139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140</v>
      </c>
      <c r="C84" s="37" t="s">
        <v>141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142</v>
      </c>
      <c r="C85" s="37" t="s">
        <v>143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144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145</v>
      </c>
      <c r="C87" s="37" t="s">
        <v>146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147</v>
      </c>
      <c r="C88" s="37" t="s">
        <v>148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149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150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151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152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153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154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155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156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157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158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159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160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161</v>
      </c>
      <c r="C101" s="37" t="s">
        <v>162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163</v>
      </c>
      <c r="C102" s="37" t="s">
        <v>164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165</v>
      </c>
      <c r="C103" s="37" t="s">
        <v>166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167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343"/>
  <sheetViews>
    <sheetView zoomScalePageLayoutView="0" workbookViewId="0" topLeftCell="A1">
      <selection activeCell="O4" sqref="O4:O34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295</v>
      </c>
      <c r="P1">
        <f>MAX(L:L)</f>
        <v>2020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473</v>
      </c>
      <c r="C4" s="18" t="s">
        <v>474</v>
      </c>
      <c r="D4" s="19">
        <v>1008042</v>
      </c>
      <c r="E4" s="19">
        <v>2</v>
      </c>
      <c r="F4" s="19"/>
      <c r="G4" s="19">
        <v>520</v>
      </c>
      <c r="H4" s="19" t="s">
        <v>110</v>
      </c>
      <c r="I4" s="19"/>
      <c r="J4" s="19" t="s">
        <v>475</v>
      </c>
      <c r="K4" s="19" t="b">
        <v>1</v>
      </c>
      <c r="L4" s="15">
        <v>2018</v>
      </c>
      <c r="M4" s="16">
        <v>0.0973</v>
      </c>
      <c r="N4" s="20">
        <v>41443</v>
      </c>
      <c r="O4" s="20">
        <v>41443</v>
      </c>
    </row>
    <row r="5" spans="1:15" ht="14.25">
      <c r="A5" s="17">
        <v>2013</v>
      </c>
      <c r="B5" s="18" t="s">
        <v>473</v>
      </c>
      <c r="C5" s="18" t="s">
        <v>474</v>
      </c>
      <c r="D5" s="19">
        <v>1008042</v>
      </c>
      <c r="E5" s="19">
        <v>2</v>
      </c>
      <c r="F5" s="19"/>
      <c r="G5" s="19">
        <v>600</v>
      </c>
      <c r="H5" s="19">
        <v>11.3</v>
      </c>
      <c r="I5" s="19" t="s">
        <v>476</v>
      </c>
      <c r="J5" s="19" t="s">
        <v>120</v>
      </c>
      <c r="K5" s="19" t="b">
        <v>1</v>
      </c>
      <c r="L5" s="15">
        <v>2016</v>
      </c>
      <c r="M5" s="16">
        <v>700000</v>
      </c>
      <c r="N5" s="20">
        <v>41443</v>
      </c>
      <c r="O5" s="20">
        <v>41443</v>
      </c>
    </row>
    <row r="6" spans="1:15" ht="14.25">
      <c r="A6" s="17">
        <v>2013</v>
      </c>
      <c r="B6" s="18" t="s">
        <v>473</v>
      </c>
      <c r="C6" s="18" t="s">
        <v>474</v>
      </c>
      <c r="D6" s="19">
        <v>1008042</v>
      </c>
      <c r="E6" s="19">
        <v>2</v>
      </c>
      <c r="F6" s="19"/>
      <c r="G6" s="19">
        <v>630</v>
      </c>
      <c r="H6" s="19">
        <v>11.4</v>
      </c>
      <c r="I6" s="19"/>
      <c r="J6" s="19" t="s">
        <v>125</v>
      </c>
      <c r="K6" s="19" t="b">
        <v>1</v>
      </c>
      <c r="L6" s="15">
        <v>2015</v>
      </c>
      <c r="M6" s="16">
        <v>445500</v>
      </c>
      <c r="N6" s="20">
        <v>41443</v>
      </c>
      <c r="O6" s="20">
        <v>41443</v>
      </c>
    </row>
    <row r="7" spans="1:15" ht="14.25">
      <c r="A7" s="17">
        <v>2013</v>
      </c>
      <c r="B7" s="18" t="s">
        <v>473</v>
      </c>
      <c r="C7" s="18" t="s">
        <v>474</v>
      </c>
      <c r="D7" s="19">
        <v>1008042</v>
      </c>
      <c r="E7" s="19">
        <v>2</v>
      </c>
      <c r="F7" s="19"/>
      <c r="G7" s="19">
        <v>70</v>
      </c>
      <c r="H7" s="19" t="s">
        <v>56</v>
      </c>
      <c r="I7" s="19"/>
      <c r="J7" s="19" t="s">
        <v>57</v>
      </c>
      <c r="K7" s="19" t="b">
        <v>1</v>
      </c>
      <c r="L7" s="15">
        <v>2016</v>
      </c>
      <c r="M7" s="16">
        <v>6467725.23</v>
      </c>
      <c r="N7" s="20">
        <v>41443</v>
      </c>
      <c r="O7" s="20">
        <v>41443</v>
      </c>
    </row>
    <row r="8" spans="1:15" ht="14.25">
      <c r="A8" s="17">
        <v>2013</v>
      </c>
      <c r="B8" s="18" t="s">
        <v>473</v>
      </c>
      <c r="C8" s="18" t="s">
        <v>474</v>
      </c>
      <c r="D8" s="19">
        <v>1008042</v>
      </c>
      <c r="E8" s="19">
        <v>2</v>
      </c>
      <c r="F8" s="19"/>
      <c r="G8" s="19">
        <v>350</v>
      </c>
      <c r="H8" s="19">
        <v>6</v>
      </c>
      <c r="I8" s="19"/>
      <c r="J8" s="19" t="s">
        <v>27</v>
      </c>
      <c r="K8" s="19" t="b">
        <v>1</v>
      </c>
      <c r="L8" s="15">
        <v>2015</v>
      </c>
      <c r="M8" s="16">
        <v>4573417.46</v>
      </c>
      <c r="N8" s="20">
        <v>41443</v>
      </c>
      <c r="O8" s="20">
        <v>41443</v>
      </c>
    </row>
    <row r="9" spans="1:15" ht="14.25">
      <c r="A9" s="17">
        <v>2013</v>
      </c>
      <c r="B9" s="18" t="s">
        <v>473</v>
      </c>
      <c r="C9" s="18" t="s">
        <v>474</v>
      </c>
      <c r="D9" s="19">
        <v>1008042</v>
      </c>
      <c r="E9" s="19">
        <v>2</v>
      </c>
      <c r="F9" s="19"/>
      <c r="G9" s="19">
        <v>380</v>
      </c>
      <c r="H9" s="19">
        <v>6.2</v>
      </c>
      <c r="I9" s="19" t="s">
        <v>477</v>
      </c>
      <c r="J9" s="19" t="s">
        <v>97</v>
      </c>
      <c r="K9" s="19" t="b">
        <v>0</v>
      </c>
      <c r="L9" s="15">
        <v>2018</v>
      </c>
      <c r="M9" s="16">
        <v>0.052</v>
      </c>
      <c r="N9" s="20">
        <v>41443</v>
      </c>
      <c r="O9" s="20">
        <v>41443</v>
      </c>
    </row>
    <row r="10" spans="1:15" ht="14.25">
      <c r="A10" s="17">
        <v>2013</v>
      </c>
      <c r="B10" s="18" t="s">
        <v>473</v>
      </c>
      <c r="C10" s="18" t="s">
        <v>474</v>
      </c>
      <c r="D10" s="19">
        <v>1008042</v>
      </c>
      <c r="E10" s="19">
        <v>2</v>
      </c>
      <c r="F10" s="19"/>
      <c r="G10" s="19">
        <v>190</v>
      </c>
      <c r="H10" s="19">
        <v>2.2</v>
      </c>
      <c r="I10" s="19"/>
      <c r="J10" s="19" t="s">
        <v>76</v>
      </c>
      <c r="K10" s="19" t="b">
        <v>0</v>
      </c>
      <c r="L10" s="15">
        <v>2020</v>
      </c>
      <c r="M10" s="16">
        <v>2383511.51</v>
      </c>
      <c r="N10" s="20">
        <v>41443</v>
      </c>
      <c r="O10" s="20">
        <v>41443</v>
      </c>
    </row>
    <row r="11" spans="1:15" ht="14.25">
      <c r="A11" s="17">
        <v>2013</v>
      </c>
      <c r="B11" s="18" t="s">
        <v>473</v>
      </c>
      <c r="C11" s="18" t="s">
        <v>474</v>
      </c>
      <c r="D11" s="19">
        <v>1008042</v>
      </c>
      <c r="E11" s="19">
        <v>2</v>
      </c>
      <c r="F11" s="19"/>
      <c r="G11" s="19">
        <v>180</v>
      </c>
      <c r="H11" s="19" t="s">
        <v>74</v>
      </c>
      <c r="I11" s="19"/>
      <c r="J11" s="19" t="s">
        <v>75</v>
      </c>
      <c r="K11" s="19" t="b">
        <v>0</v>
      </c>
      <c r="L11" s="15">
        <v>2016</v>
      </c>
      <c r="M11" s="16">
        <v>270000</v>
      </c>
      <c r="N11" s="20">
        <v>41443</v>
      </c>
      <c r="O11" s="20">
        <v>41443</v>
      </c>
    </row>
    <row r="12" spans="1:15" ht="14.25">
      <c r="A12" s="17">
        <v>2013</v>
      </c>
      <c r="B12" s="18" t="s">
        <v>473</v>
      </c>
      <c r="C12" s="18" t="s">
        <v>474</v>
      </c>
      <c r="D12" s="19">
        <v>1008042</v>
      </c>
      <c r="E12" s="19">
        <v>2</v>
      </c>
      <c r="F12" s="19"/>
      <c r="G12" s="19">
        <v>20</v>
      </c>
      <c r="H12" s="19">
        <v>1.1</v>
      </c>
      <c r="I12" s="19"/>
      <c r="J12" s="19" t="s">
        <v>47</v>
      </c>
      <c r="K12" s="19" t="b">
        <v>1</v>
      </c>
      <c r="L12" s="15">
        <v>2020</v>
      </c>
      <c r="M12" s="16">
        <v>25925677.98</v>
      </c>
      <c r="N12" s="20">
        <v>41443</v>
      </c>
      <c r="O12" s="20">
        <v>41443</v>
      </c>
    </row>
    <row r="13" spans="1:15" ht="14.25">
      <c r="A13" s="17">
        <v>2013</v>
      </c>
      <c r="B13" s="18" t="s">
        <v>473</v>
      </c>
      <c r="C13" s="18" t="s">
        <v>474</v>
      </c>
      <c r="D13" s="19">
        <v>1008042</v>
      </c>
      <c r="E13" s="19">
        <v>2</v>
      </c>
      <c r="F13" s="19"/>
      <c r="G13" s="19">
        <v>505</v>
      </c>
      <c r="H13" s="19" t="s">
        <v>107</v>
      </c>
      <c r="I13" s="19" t="s">
        <v>478</v>
      </c>
      <c r="J13" s="19" t="s">
        <v>108</v>
      </c>
      <c r="K13" s="19" t="b">
        <v>0</v>
      </c>
      <c r="L13" s="15">
        <v>2013</v>
      </c>
      <c r="M13" s="16">
        <v>0.0477</v>
      </c>
      <c r="N13" s="20">
        <v>41443</v>
      </c>
      <c r="O13" s="20">
        <v>41443</v>
      </c>
    </row>
    <row r="14" spans="1:15" ht="14.25">
      <c r="A14" s="17">
        <v>2013</v>
      </c>
      <c r="B14" s="18" t="s">
        <v>473</v>
      </c>
      <c r="C14" s="18" t="s">
        <v>474</v>
      </c>
      <c r="D14" s="19">
        <v>1008042</v>
      </c>
      <c r="E14" s="19">
        <v>2</v>
      </c>
      <c r="F14" s="19"/>
      <c r="G14" s="19">
        <v>460</v>
      </c>
      <c r="H14" s="19">
        <v>9.2</v>
      </c>
      <c r="I14" s="19" t="s">
        <v>479</v>
      </c>
      <c r="J14" s="19" t="s">
        <v>103</v>
      </c>
      <c r="K14" s="19" t="b">
        <v>0</v>
      </c>
      <c r="L14" s="15">
        <v>2013</v>
      </c>
      <c r="M14" s="16">
        <v>0.073</v>
      </c>
      <c r="N14" s="20">
        <v>41443</v>
      </c>
      <c r="O14" s="20">
        <v>41443</v>
      </c>
    </row>
    <row r="15" spans="1:15" ht="14.25">
      <c r="A15" s="17">
        <v>2013</v>
      </c>
      <c r="B15" s="18" t="s">
        <v>473</v>
      </c>
      <c r="C15" s="18" t="s">
        <v>474</v>
      </c>
      <c r="D15" s="19">
        <v>1008042</v>
      </c>
      <c r="E15" s="19">
        <v>2</v>
      </c>
      <c r="F15" s="19"/>
      <c r="G15" s="19">
        <v>20</v>
      </c>
      <c r="H15" s="19">
        <v>1.1</v>
      </c>
      <c r="I15" s="19"/>
      <c r="J15" s="19" t="s">
        <v>47</v>
      </c>
      <c r="K15" s="19" t="b">
        <v>1</v>
      </c>
      <c r="L15" s="15">
        <v>2014</v>
      </c>
      <c r="M15" s="16">
        <v>20949227.29</v>
      </c>
      <c r="N15" s="20">
        <v>41443</v>
      </c>
      <c r="O15" s="20">
        <v>41443</v>
      </c>
    </row>
    <row r="16" spans="1:15" ht="14.25">
      <c r="A16" s="17">
        <v>2013</v>
      </c>
      <c r="B16" s="18" t="s">
        <v>473</v>
      </c>
      <c r="C16" s="18" t="s">
        <v>474</v>
      </c>
      <c r="D16" s="19">
        <v>1008042</v>
      </c>
      <c r="E16" s="19">
        <v>2</v>
      </c>
      <c r="F16" s="19"/>
      <c r="G16" s="19">
        <v>260</v>
      </c>
      <c r="H16" s="19">
        <v>4.3</v>
      </c>
      <c r="I16" s="19"/>
      <c r="J16" s="19" t="s">
        <v>83</v>
      </c>
      <c r="K16" s="19" t="b">
        <v>1</v>
      </c>
      <c r="L16" s="15">
        <v>2014</v>
      </c>
      <c r="M16" s="16">
        <v>486701.7</v>
      </c>
      <c r="N16" s="20">
        <v>41443</v>
      </c>
      <c r="O16" s="20">
        <v>41443</v>
      </c>
    </row>
    <row r="17" spans="1:15" ht="14.25">
      <c r="A17" s="17">
        <v>2013</v>
      </c>
      <c r="B17" s="18" t="s">
        <v>473</v>
      </c>
      <c r="C17" s="18" t="s">
        <v>474</v>
      </c>
      <c r="D17" s="19">
        <v>1008042</v>
      </c>
      <c r="E17" s="19">
        <v>2</v>
      </c>
      <c r="F17" s="19"/>
      <c r="G17" s="19">
        <v>130</v>
      </c>
      <c r="H17" s="19">
        <v>2.1</v>
      </c>
      <c r="I17" s="19"/>
      <c r="J17" s="19" t="s">
        <v>65</v>
      </c>
      <c r="K17" s="19" t="b">
        <v>1</v>
      </c>
      <c r="L17" s="15">
        <v>2017</v>
      </c>
      <c r="M17" s="16">
        <v>20840419.26</v>
      </c>
      <c r="N17" s="20">
        <v>41443</v>
      </c>
      <c r="O17" s="20">
        <v>41443</v>
      </c>
    </row>
    <row r="18" spans="1:15" ht="14.25">
      <c r="A18" s="17">
        <v>2013</v>
      </c>
      <c r="B18" s="18" t="s">
        <v>473</v>
      </c>
      <c r="C18" s="18" t="s">
        <v>474</v>
      </c>
      <c r="D18" s="19">
        <v>1008042</v>
      </c>
      <c r="E18" s="19">
        <v>2</v>
      </c>
      <c r="F18" s="19"/>
      <c r="G18" s="19">
        <v>470</v>
      </c>
      <c r="H18" s="19">
        <v>9.3</v>
      </c>
      <c r="I18" s="19" t="s">
        <v>480</v>
      </c>
      <c r="J18" s="19" t="s">
        <v>481</v>
      </c>
      <c r="K18" s="19" t="b">
        <v>1</v>
      </c>
      <c r="L18" s="15">
        <v>2013</v>
      </c>
      <c r="M18" s="16">
        <v>0.073</v>
      </c>
      <c r="N18" s="20">
        <v>41443</v>
      </c>
      <c r="O18" s="20">
        <v>41443</v>
      </c>
    </row>
    <row r="19" spans="1:15" ht="14.25">
      <c r="A19" s="17">
        <v>2013</v>
      </c>
      <c r="B19" s="18" t="s">
        <v>473</v>
      </c>
      <c r="C19" s="18" t="s">
        <v>474</v>
      </c>
      <c r="D19" s="19">
        <v>1008042</v>
      </c>
      <c r="E19" s="19">
        <v>2</v>
      </c>
      <c r="F19" s="19"/>
      <c r="G19" s="19">
        <v>510</v>
      </c>
      <c r="H19" s="19">
        <v>9.7</v>
      </c>
      <c r="I19" s="19"/>
      <c r="J19" s="19" t="s">
        <v>482</v>
      </c>
      <c r="K19" s="19" t="b">
        <v>1</v>
      </c>
      <c r="L19" s="15">
        <v>2013</v>
      </c>
      <c r="M19" s="16">
        <v>0.0549</v>
      </c>
      <c r="N19" s="20">
        <v>41443</v>
      </c>
      <c r="O19" s="20">
        <v>41443</v>
      </c>
    </row>
    <row r="20" spans="1:15" ht="14.25">
      <c r="A20" s="17">
        <v>2013</v>
      </c>
      <c r="B20" s="18" t="s">
        <v>473</v>
      </c>
      <c r="C20" s="18" t="s">
        <v>474</v>
      </c>
      <c r="D20" s="19">
        <v>1008042</v>
      </c>
      <c r="E20" s="19">
        <v>2</v>
      </c>
      <c r="F20" s="19"/>
      <c r="G20" s="19">
        <v>50</v>
      </c>
      <c r="H20" s="19" t="s">
        <v>52</v>
      </c>
      <c r="I20" s="19"/>
      <c r="J20" s="19" t="s">
        <v>53</v>
      </c>
      <c r="K20" s="19" t="b">
        <v>1</v>
      </c>
      <c r="L20" s="15">
        <v>2019</v>
      </c>
      <c r="M20" s="16">
        <v>5587520.51</v>
      </c>
      <c r="N20" s="20">
        <v>41443</v>
      </c>
      <c r="O20" s="20">
        <v>41443</v>
      </c>
    </row>
    <row r="21" spans="1:15" ht="14.25">
      <c r="A21" s="17">
        <v>2013</v>
      </c>
      <c r="B21" s="18" t="s">
        <v>473</v>
      </c>
      <c r="C21" s="18" t="s">
        <v>474</v>
      </c>
      <c r="D21" s="19">
        <v>1008042</v>
      </c>
      <c r="E21" s="19">
        <v>2</v>
      </c>
      <c r="F21" s="19"/>
      <c r="G21" s="19">
        <v>390</v>
      </c>
      <c r="H21" s="19">
        <v>6.3</v>
      </c>
      <c r="I21" s="19" t="s">
        <v>483</v>
      </c>
      <c r="J21" s="19" t="s">
        <v>98</v>
      </c>
      <c r="K21" s="19" t="b">
        <v>0</v>
      </c>
      <c r="L21" s="15">
        <v>2015</v>
      </c>
      <c r="M21" s="16">
        <v>0.2117</v>
      </c>
      <c r="N21" s="20">
        <v>41443</v>
      </c>
      <c r="O21" s="20">
        <v>41443</v>
      </c>
    </row>
    <row r="22" spans="1:15" ht="14.25">
      <c r="A22" s="17">
        <v>2013</v>
      </c>
      <c r="B22" s="18" t="s">
        <v>473</v>
      </c>
      <c r="C22" s="18" t="s">
        <v>474</v>
      </c>
      <c r="D22" s="19">
        <v>1008042</v>
      </c>
      <c r="E22" s="19">
        <v>2</v>
      </c>
      <c r="F22" s="19"/>
      <c r="G22" s="19">
        <v>70</v>
      </c>
      <c r="H22" s="19" t="s">
        <v>56</v>
      </c>
      <c r="I22" s="19"/>
      <c r="J22" s="19" t="s">
        <v>57</v>
      </c>
      <c r="K22" s="19" t="b">
        <v>1</v>
      </c>
      <c r="L22" s="15">
        <v>2018</v>
      </c>
      <c r="M22" s="16">
        <v>6982045.21</v>
      </c>
      <c r="N22" s="20">
        <v>41443</v>
      </c>
      <c r="O22" s="20">
        <v>41443</v>
      </c>
    </row>
    <row r="23" spans="1:15" ht="14.25">
      <c r="A23" s="17">
        <v>2013</v>
      </c>
      <c r="B23" s="18" t="s">
        <v>473</v>
      </c>
      <c r="C23" s="18" t="s">
        <v>474</v>
      </c>
      <c r="D23" s="19">
        <v>1008042</v>
      </c>
      <c r="E23" s="19">
        <v>2</v>
      </c>
      <c r="F23" s="19"/>
      <c r="G23" s="19">
        <v>670</v>
      </c>
      <c r="H23" s="19">
        <v>12.1</v>
      </c>
      <c r="I23" s="19"/>
      <c r="J23" s="19" t="s">
        <v>129</v>
      </c>
      <c r="K23" s="19" t="b">
        <v>1</v>
      </c>
      <c r="L23" s="15">
        <v>2015</v>
      </c>
      <c r="M23" s="16">
        <v>159229.52</v>
      </c>
      <c r="N23" s="20">
        <v>41443</v>
      </c>
      <c r="O23" s="20">
        <v>41443</v>
      </c>
    </row>
    <row r="24" spans="1:15" ht="14.25">
      <c r="A24" s="17">
        <v>2013</v>
      </c>
      <c r="B24" s="18" t="s">
        <v>473</v>
      </c>
      <c r="C24" s="18" t="s">
        <v>474</v>
      </c>
      <c r="D24" s="19">
        <v>1008042</v>
      </c>
      <c r="E24" s="19">
        <v>2</v>
      </c>
      <c r="F24" s="19"/>
      <c r="G24" s="19">
        <v>60</v>
      </c>
      <c r="H24" s="19" t="s">
        <v>54</v>
      </c>
      <c r="I24" s="19"/>
      <c r="J24" s="19" t="s">
        <v>55</v>
      </c>
      <c r="K24" s="19" t="b">
        <v>1</v>
      </c>
      <c r="L24" s="15">
        <v>2016</v>
      </c>
      <c r="M24" s="16">
        <v>3258072.41</v>
      </c>
      <c r="N24" s="20">
        <v>41443</v>
      </c>
      <c r="O24" s="20">
        <v>41443</v>
      </c>
    </row>
    <row r="25" spans="1:15" ht="14.25">
      <c r="A25" s="17">
        <v>2013</v>
      </c>
      <c r="B25" s="18" t="s">
        <v>473</v>
      </c>
      <c r="C25" s="18" t="s">
        <v>474</v>
      </c>
      <c r="D25" s="19">
        <v>1008042</v>
      </c>
      <c r="E25" s="19">
        <v>2</v>
      </c>
      <c r="F25" s="19"/>
      <c r="G25" s="19">
        <v>300</v>
      </c>
      <c r="H25" s="19">
        <v>5</v>
      </c>
      <c r="I25" s="19" t="s">
        <v>484</v>
      </c>
      <c r="J25" s="19" t="s">
        <v>87</v>
      </c>
      <c r="K25" s="19" t="b">
        <v>0</v>
      </c>
      <c r="L25" s="15">
        <v>2020</v>
      </c>
      <c r="M25" s="16">
        <v>249496.46</v>
      </c>
      <c r="N25" s="20">
        <v>41443</v>
      </c>
      <c r="O25" s="20">
        <v>41443</v>
      </c>
    </row>
    <row r="26" spans="1:15" ht="14.25">
      <c r="A26" s="17">
        <v>2013</v>
      </c>
      <c r="B26" s="18" t="s">
        <v>473</v>
      </c>
      <c r="C26" s="18" t="s">
        <v>474</v>
      </c>
      <c r="D26" s="19">
        <v>1008042</v>
      </c>
      <c r="E26" s="19">
        <v>2</v>
      </c>
      <c r="F26" s="19"/>
      <c r="G26" s="19">
        <v>480</v>
      </c>
      <c r="H26" s="19">
        <v>9.4</v>
      </c>
      <c r="I26" s="19" t="s">
        <v>479</v>
      </c>
      <c r="J26" s="19" t="s">
        <v>104</v>
      </c>
      <c r="K26" s="19" t="b">
        <v>0</v>
      </c>
      <c r="L26" s="15">
        <v>2020</v>
      </c>
      <c r="M26" s="16">
        <v>0.0143</v>
      </c>
      <c r="N26" s="20">
        <v>41443</v>
      </c>
      <c r="O26" s="20">
        <v>41443</v>
      </c>
    </row>
    <row r="27" spans="1:15" ht="14.25">
      <c r="A27" s="17">
        <v>2013</v>
      </c>
      <c r="B27" s="18" t="s">
        <v>473</v>
      </c>
      <c r="C27" s="18" t="s">
        <v>474</v>
      </c>
      <c r="D27" s="19">
        <v>1008042</v>
      </c>
      <c r="E27" s="19">
        <v>2</v>
      </c>
      <c r="F27" s="19"/>
      <c r="G27" s="19">
        <v>450</v>
      </c>
      <c r="H27" s="19">
        <v>9.1</v>
      </c>
      <c r="I27" s="19" t="s">
        <v>480</v>
      </c>
      <c r="J27" s="19" t="s">
        <v>102</v>
      </c>
      <c r="K27" s="19" t="b">
        <v>1</v>
      </c>
      <c r="L27" s="15">
        <v>2019</v>
      </c>
      <c r="M27" s="16">
        <v>0.0453</v>
      </c>
      <c r="N27" s="20">
        <v>41443</v>
      </c>
      <c r="O27" s="20">
        <v>41443</v>
      </c>
    </row>
    <row r="28" spans="1:15" ht="14.25">
      <c r="A28" s="17">
        <v>2013</v>
      </c>
      <c r="B28" s="18" t="s">
        <v>473</v>
      </c>
      <c r="C28" s="18" t="s">
        <v>474</v>
      </c>
      <c r="D28" s="19">
        <v>1008042</v>
      </c>
      <c r="E28" s="19">
        <v>2</v>
      </c>
      <c r="F28" s="19"/>
      <c r="G28" s="19">
        <v>500</v>
      </c>
      <c r="H28" s="19">
        <v>9.6</v>
      </c>
      <c r="I28" s="19" t="s">
        <v>485</v>
      </c>
      <c r="J28" s="19" t="s">
        <v>106</v>
      </c>
      <c r="K28" s="19" t="b">
        <v>0</v>
      </c>
      <c r="L28" s="15">
        <v>2018</v>
      </c>
      <c r="M28" s="16">
        <v>0.0555</v>
      </c>
      <c r="N28" s="20">
        <v>41443</v>
      </c>
      <c r="O28" s="20">
        <v>41443</v>
      </c>
    </row>
    <row r="29" spans="1:15" ht="14.25">
      <c r="A29" s="17">
        <v>2013</v>
      </c>
      <c r="B29" s="18" t="s">
        <v>473</v>
      </c>
      <c r="C29" s="18" t="s">
        <v>474</v>
      </c>
      <c r="D29" s="19">
        <v>1008042</v>
      </c>
      <c r="E29" s="19">
        <v>2</v>
      </c>
      <c r="F29" s="19"/>
      <c r="G29" s="19">
        <v>380</v>
      </c>
      <c r="H29" s="19">
        <v>6.2</v>
      </c>
      <c r="I29" s="19" t="s">
        <v>477</v>
      </c>
      <c r="J29" s="19" t="s">
        <v>97</v>
      </c>
      <c r="K29" s="19" t="b">
        <v>0</v>
      </c>
      <c r="L29" s="15">
        <v>2015</v>
      </c>
      <c r="M29" s="16">
        <v>0.2117</v>
      </c>
      <c r="N29" s="20">
        <v>41443</v>
      </c>
      <c r="O29" s="20">
        <v>41443</v>
      </c>
    </row>
    <row r="30" spans="1:15" ht="14.25">
      <c r="A30" s="17">
        <v>2013</v>
      </c>
      <c r="B30" s="18" t="s">
        <v>473</v>
      </c>
      <c r="C30" s="18" t="s">
        <v>474</v>
      </c>
      <c r="D30" s="19">
        <v>1008042</v>
      </c>
      <c r="E30" s="19">
        <v>2</v>
      </c>
      <c r="F30" s="19"/>
      <c r="G30" s="19">
        <v>420</v>
      </c>
      <c r="H30" s="19">
        <v>8.1</v>
      </c>
      <c r="I30" s="19" t="s">
        <v>486</v>
      </c>
      <c r="J30" s="19" t="s">
        <v>100</v>
      </c>
      <c r="K30" s="19" t="b">
        <v>0</v>
      </c>
      <c r="L30" s="15">
        <v>2016</v>
      </c>
      <c r="M30" s="16">
        <v>2168724.11</v>
      </c>
      <c r="N30" s="20">
        <v>41443</v>
      </c>
      <c r="O30" s="20">
        <v>41443</v>
      </c>
    </row>
    <row r="31" spans="1:15" ht="14.25">
      <c r="A31" s="17">
        <v>2013</v>
      </c>
      <c r="B31" s="18" t="s">
        <v>473</v>
      </c>
      <c r="C31" s="18" t="s">
        <v>474</v>
      </c>
      <c r="D31" s="19">
        <v>1008042</v>
      </c>
      <c r="E31" s="19">
        <v>2</v>
      </c>
      <c r="F31" s="19"/>
      <c r="G31" s="19">
        <v>310</v>
      </c>
      <c r="H31" s="19">
        <v>5.1</v>
      </c>
      <c r="I31" s="19"/>
      <c r="J31" s="19" t="s">
        <v>88</v>
      </c>
      <c r="K31" s="19" t="b">
        <v>1</v>
      </c>
      <c r="L31" s="15">
        <v>2020</v>
      </c>
      <c r="M31" s="16">
        <v>249496.46</v>
      </c>
      <c r="N31" s="20">
        <v>41443</v>
      </c>
      <c r="O31" s="20">
        <v>41443</v>
      </c>
    </row>
    <row r="32" spans="1:15" ht="14.25">
      <c r="A32" s="17">
        <v>2013</v>
      </c>
      <c r="B32" s="18" t="s">
        <v>473</v>
      </c>
      <c r="C32" s="18" t="s">
        <v>474</v>
      </c>
      <c r="D32" s="19">
        <v>1008042</v>
      </c>
      <c r="E32" s="19">
        <v>2</v>
      </c>
      <c r="F32" s="19"/>
      <c r="G32" s="19">
        <v>180</v>
      </c>
      <c r="H32" s="19" t="s">
        <v>74</v>
      </c>
      <c r="I32" s="19"/>
      <c r="J32" s="19" t="s">
        <v>75</v>
      </c>
      <c r="K32" s="19" t="b">
        <v>0</v>
      </c>
      <c r="L32" s="15">
        <v>2020</v>
      </c>
      <c r="M32" s="16">
        <v>120000</v>
      </c>
      <c r="N32" s="20">
        <v>41443</v>
      </c>
      <c r="O32" s="20">
        <v>41443</v>
      </c>
    </row>
    <row r="33" spans="1:15" ht="14.25">
      <c r="A33" s="17">
        <v>2013</v>
      </c>
      <c r="B33" s="18" t="s">
        <v>473</v>
      </c>
      <c r="C33" s="18" t="s">
        <v>474</v>
      </c>
      <c r="D33" s="19">
        <v>1008042</v>
      </c>
      <c r="E33" s="19">
        <v>2</v>
      </c>
      <c r="F33" s="19"/>
      <c r="G33" s="19">
        <v>190</v>
      </c>
      <c r="H33" s="19">
        <v>2.2</v>
      </c>
      <c r="I33" s="19"/>
      <c r="J33" s="19" t="s">
        <v>76</v>
      </c>
      <c r="K33" s="19" t="b">
        <v>0</v>
      </c>
      <c r="L33" s="15">
        <v>2015</v>
      </c>
      <c r="M33" s="16">
        <v>1279515.26</v>
      </c>
      <c r="N33" s="20">
        <v>41443</v>
      </c>
      <c r="O33" s="20">
        <v>41443</v>
      </c>
    </row>
    <row r="34" spans="1:15" ht="14.25">
      <c r="A34" s="17">
        <v>2013</v>
      </c>
      <c r="B34" s="18" t="s">
        <v>473</v>
      </c>
      <c r="C34" s="18" t="s">
        <v>474</v>
      </c>
      <c r="D34" s="19">
        <v>1008042</v>
      </c>
      <c r="E34" s="19">
        <v>2</v>
      </c>
      <c r="F34" s="19"/>
      <c r="G34" s="19">
        <v>300</v>
      </c>
      <c r="H34" s="19">
        <v>5</v>
      </c>
      <c r="I34" s="19" t="s">
        <v>484</v>
      </c>
      <c r="J34" s="19" t="s">
        <v>87</v>
      </c>
      <c r="K34" s="19" t="b">
        <v>0</v>
      </c>
      <c r="L34" s="15">
        <v>2016</v>
      </c>
      <c r="M34" s="16">
        <v>1050000</v>
      </c>
      <c r="N34" s="20">
        <v>41443</v>
      </c>
      <c r="O34" s="20">
        <v>41443</v>
      </c>
    </row>
    <row r="35" spans="1:15" ht="14.25">
      <c r="A35" s="17">
        <v>2013</v>
      </c>
      <c r="B35" s="18" t="s">
        <v>473</v>
      </c>
      <c r="C35" s="18" t="s">
        <v>474</v>
      </c>
      <c r="D35" s="19">
        <v>1008042</v>
      </c>
      <c r="E35" s="19">
        <v>2</v>
      </c>
      <c r="F35" s="19"/>
      <c r="G35" s="19">
        <v>505</v>
      </c>
      <c r="H35" s="19" t="s">
        <v>107</v>
      </c>
      <c r="I35" s="19" t="s">
        <v>478</v>
      </c>
      <c r="J35" s="19" t="s">
        <v>108</v>
      </c>
      <c r="K35" s="19" t="b">
        <v>0</v>
      </c>
      <c r="L35" s="15">
        <v>2016</v>
      </c>
      <c r="M35" s="16">
        <v>0.0974</v>
      </c>
      <c r="N35" s="20">
        <v>41443</v>
      </c>
      <c r="O35" s="20">
        <v>41443</v>
      </c>
    </row>
    <row r="36" spans="1:15" ht="14.25">
      <c r="A36" s="17">
        <v>2013</v>
      </c>
      <c r="B36" s="18" t="s">
        <v>473</v>
      </c>
      <c r="C36" s="18" t="s">
        <v>474</v>
      </c>
      <c r="D36" s="19">
        <v>1008042</v>
      </c>
      <c r="E36" s="19">
        <v>2</v>
      </c>
      <c r="F36" s="19"/>
      <c r="G36" s="19">
        <v>420</v>
      </c>
      <c r="H36" s="19">
        <v>8.1</v>
      </c>
      <c r="I36" s="19" t="s">
        <v>486</v>
      </c>
      <c r="J36" s="19" t="s">
        <v>100</v>
      </c>
      <c r="K36" s="19" t="b">
        <v>0</v>
      </c>
      <c r="L36" s="15">
        <v>2017</v>
      </c>
      <c r="M36" s="16">
        <v>2274026.25</v>
      </c>
      <c r="N36" s="20">
        <v>41443</v>
      </c>
      <c r="O36" s="20">
        <v>41443</v>
      </c>
    </row>
    <row r="37" spans="1:15" ht="14.25">
      <c r="A37" s="17">
        <v>2013</v>
      </c>
      <c r="B37" s="18" t="s">
        <v>473</v>
      </c>
      <c r="C37" s="18" t="s">
        <v>474</v>
      </c>
      <c r="D37" s="19">
        <v>1008042</v>
      </c>
      <c r="E37" s="19">
        <v>2</v>
      </c>
      <c r="F37" s="19"/>
      <c r="G37" s="19">
        <v>50</v>
      </c>
      <c r="H37" s="19" t="s">
        <v>52</v>
      </c>
      <c r="I37" s="19"/>
      <c r="J37" s="19" t="s">
        <v>53</v>
      </c>
      <c r="K37" s="19" t="b">
        <v>1</v>
      </c>
      <c r="L37" s="15">
        <v>2014</v>
      </c>
      <c r="M37" s="16">
        <v>4636992.58</v>
      </c>
      <c r="N37" s="20">
        <v>41443</v>
      </c>
      <c r="O37" s="20">
        <v>41443</v>
      </c>
    </row>
    <row r="38" spans="1:15" ht="14.25">
      <c r="A38" s="17">
        <v>2013</v>
      </c>
      <c r="B38" s="18" t="s">
        <v>473</v>
      </c>
      <c r="C38" s="18" t="s">
        <v>474</v>
      </c>
      <c r="D38" s="19">
        <v>1008042</v>
      </c>
      <c r="E38" s="19">
        <v>2</v>
      </c>
      <c r="F38" s="19"/>
      <c r="G38" s="19">
        <v>560</v>
      </c>
      <c r="H38" s="19">
        <v>10.1</v>
      </c>
      <c r="I38" s="19"/>
      <c r="J38" s="19" t="s">
        <v>116</v>
      </c>
      <c r="K38" s="19" t="b">
        <v>0</v>
      </c>
      <c r="L38" s="15">
        <v>2016</v>
      </c>
      <c r="M38" s="16">
        <v>1050000</v>
      </c>
      <c r="N38" s="20">
        <v>41443</v>
      </c>
      <c r="O38" s="20">
        <v>41443</v>
      </c>
    </row>
    <row r="39" spans="1:15" ht="14.25">
      <c r="A39" s="17">
        <v>2013</v>
      </c>
      <c r="B39" s="18" t="s">
        <v>473</v>
      </c>
      <c r="C39" s="18" t="s">
        <v>474</v>
      </c>
      <c r="D39" s="19">
        <v>1008042</v>
      </c>
      <c r="E39" s="19">
        <v>2</v>
      </c>
      <c r="F39" s="19"/>
      <c r="G39" s="19">
        <v>900</v>
      </c>
      <c r="H39" s="19">
        <v>14.3</v>
      </c>
      <c r="I39" s="19"/>
      <c r="J39" s="19" t="s">
        <v>160</v>
      </c>
      <c r="K39" s="19" t="b">
        <v>1</v>
      </c>
      <c r="L39" s="15">
        <v>2013</v>
      </c>
      <c r="M39" s="16">
        <v>141.03</v>
      </c>
      <c r="N39" s="20">
        <v>41443</v>
      </c>
      <c r="O39" s="20">
        <v>41443</v>
      </c>
    </row>
    <row r="40" spans="1:15" ht="14.25">
      <c r="A40" s="17">
        <v>2013</v>
      </c>
      <c r="B40" s="18" t="s">
        <v>473</v>
      </c>
      <c r="C40" s="18" t="s">
        <v>474</v>
      </c>
      <c r="D40" s="19">
        <v>1008042</v>
      </c>
      <c r="E40" s="19">
        <v>2</v>
      </c>
      <c r="F40" s="19"/>
      <c r="G40" s="19">
        <v>420</v>
      </c>
      <c r="H40" s="19">
        <v>8.1</v>
      </c>
      <c r="I40" s="19" t="s">
        <v>486</v>
      </c>
      <c r="J40" s="19" t="s">
        <v>100</v>
      </c>
      <c r="K40" s="19" t="b">
        <v>0</v>
      </c>
      <c r="L40" s="15">
        <v>2019</v>
      </c>
      <c r="M40" s="16">
        <v>2541115.87</v>
      </c>
      <c r="N40" s="20">
        <v>41443</v>
      </c>
      <c r="O40" s="20">
        <v>41443</v>
      </c>
    </row>
    <row r="41" spans="1:15" ht="14.25">
      <c r="A41" s="17">
        <v>2013</v>
      </c>
      <c r="B41" s="18" t="s">
        <v>473</v>
      </c>
      <c r="C41" s="18" t="s">
        <v>474</v>
      </c>
      <c r="D41" s="19">
        <v>1008042</v>
      </c>
      <c r="E41" s="19">
        <v>2</v>
      </c>
      <c r="F41" s="19"/>
      <c r="G41" s="19">
        <v>590</v>
      </c>
      <c r="H41" s="19">
        <v>11.2</v>
      </c>
      <c r="I41" s="19"/>
      <c r="J41" s="19" t="s">
        <v>119</v>
      </c>
      <c r="K41" s="19" t="b">
        <v>1</v>
      </c>
      <c r="L41" s="15">
        <v>2014</v>
      </c>
      <c r="M41" s="16">
        <v>2513206.87</v>
      </c>
      <c r="N41" s="20">
        <v>41443</v>
      </c>
      <c r="O41" s="20">
        <v>41443</v>
      </c>
    </row>
    <row r="42" spans="1:15" ht="14.25">
      <c r="A42" s="17">
        <v>2013</v>
      </c>
      <c r="B42" s="18" t="s">
        <v>473</v>
      </c>
      <c r="C42" s="18" t="s">
        <v>474</v>
      </c>
      <c r="D42" s="19">
        <v>1008042</v>
      </c>
      <c r="E42" s="19">
        <v>2</v>
      </c>
      <c r="F42" s="19"/>
      <c r="G42" s="19">
        <v>640</v>
      </c>
      <c r="H42" s="19">
        <v>11.5</v>
      </c>
      <c r="I42" s="19"/>
      <c r="J42" s="19" t="s">
        <v>126</v>
      </c>
      <c r="K42" s="19" t="b">
        <v>1</v>
      </c>
      <c r="L42" s="15">
        <v>2013</v>
      </c>
      <c r="M42" s="16">
        <v>332000</v>
      </c>
      <c r="N42" s="20">
        <v>41443</v>
      </c>
      <c r="O42" s="20">
        <v>41443</v>
      </c>
    </row>
    <row r="43" spans="1:15" ht="14.25">
      <c r="A43" s="17">
        <v>2013</v>
      </c>
      <c r="B43" s="18" t="s">
        <v>473</v>
      </c>
      <c r="C43" s="18" t="s">
        <v>474</v>
      </c>
      <c r="D43" s="19">
        <v>1008042</v>
      </c>
      <c r="E43" s="19">
        <v>2</v>
      </c>
      <c r="F43" s="19"/>
      <c r="G43" s="19">
        <v>580</v>
      </c>
      <c r="H43" s="19">
        <v>11.1</v>
      </c>
      <c r="I43" s="19"/>
      <c r="J43" s="19" t="s">
        <v>118</v>
      </c>
      <c r="K43" s="19" t="b">
        <v>0</v>
      </c>
      <c r="L43" s="15">
        <v>2015</v>
      </c>
      <c r="M43" s="16">
        <v>10032205.64</v>
      </c>
      <c r="N43" s="20">
        <v>41443</v>
      </c>
      <c r="O43" s="20">
        <v>41443</v>
      </c>
    </row>
    <row r="44" spans="1:15" ht="14.25">
      <c r="A44" s="17">
        <v>2013</v>
      </c>
      <c r="B44" s="18" t="s">
        <v>473</v>
      </c>
      <c r="C44" s="18" t="s">
        <v>474</v>
      </c>
      <c r="D44" s="19">
        <v>1008042</v>
      </c>
      <c r="E44" s="19">
        <v>2</v>
      </c>
      <c r="F44" s="19"/>
      <c r="G44" s="19">
        <v>80</v>
      </c>
      <c r="H44" s="19" t="s">
        <v>58</v>
      </c>
      <c r="I44" s="19"/>
      <c r="J44" s="19" t="s">
        <v>59</v>
      </c>
      <c r="K44" s="19" t="b">
        <v>1</v>
      </c>
      <c r="L44" s="15">
        <v>2020</v>
      </c>
      <c r="M44" s="16">
        <v>2900600.49</v>
      </c>
      <c r="N44" s="20">
        <v>41443</v>
      </c>
      <c r="O44" s="20">
        <v>41443</v>
      </c>
    </row>
    <row r="45" spans="1:15" ht="14.25">
      <c r="A45" s="17">
        <v>2013</v>
      </c>
      <c r="B45" s="18" t="s">
        <v>473</v>
      </c>
      <c r="C45" s="18" t="s">
        <v>474</v>
      </c>
      <c r="D45" s="19">
        <v>1008042</v>
      </c>
      <c r="E45" s="19">
        <v>2</v>
      </c>
      <c r="F45" s="19"/>
      <c r="G45" s="19">
        <v>120</v>
      </c>
      <c r="H45" s="19">
        <v>2</v>
      </c>
      <c r="I45" s="19" t="s">
        <v>487</v>
      </c>
      <c r="J45" s="19" t="s">
        <v>21</v>
      </c>
      <c r="K45" s="19" t="b">
        <v>0</v>
      </c>
      <c r="L45" s="15">
        <v>2013</v>
      </c>
      <c r="M45" s="16">
        <v>22293445.6</v>
      </c>
      <c r="N45" s="20">
        <v>41443</v>
      </c>
      <c r="O45" s="20">
        <v>41443</v>
      </c>
    </row>
    <row r="46" spans="1:15" ht="14.25">
      <c r="A46" s="17">
        <v>2013</v>
      </c>
      <c r="B46" s="18" t="s">
        <v>473</v>
      </c>
      <c r="C46" s="18" t="s">
        <v>474</v>
      </c>
      <c r="D46" s="19">
        <v>1008042</v>
      </c>
      <c r="E46" s="19">
        <v>2</v>
      </c>
      <c r="F46" s="19"/>
      <c r="G46" s="19">
        <v>580</v>
      </c>
      <c r="H46" s="19">
        <v>11.1</v>
      </c>
      <c r="I46" s="19"/>
      <c r="J46" s="19" t="s">
        <v>118</v>
      </c>
      <c r="K46" s="19" t="b">
        <v>0</v>
      </c>
      <c r="L46" s="15">
        <v>2016</v>
      </c>
      <c r="M46" s="16">
        <v>10433493.87</v>
      </c>
      <c r="N46" s="20">
        <v>41443</v>
      </c>
      <c r="O46" s="20">
        <v>41443</v>
      </c>
    </row>
    <row r="47" spans="1:15" ht="14.25">
      <c r="A47" s="17">
        <v>2013</v>
      </c>
      <c r="B47" s="18" t="s">
        <v>473</v>
      </c>
      <c r="C47" s="18" t="s">
        <v>474</v>
      </c>
      <c r="D47" s="19">
        <v>1008042</v>
      </c>
      <c r="E47" s="19">
        <v>2</v>
      </c>
      <c r="F47" s="19"/>
      <c r="G47" s="19">
        <v>510</v>
      </c>
      <c r="H47" s="19">
        <v>9.7</v>
      </c>
      <c r="I47" s="19"/>
      <c r="J47" s="19" t="s">
        <v>482</v>
      </c>
      <c r="K47" s="19" t="b">
        <v>1</v>
      </c>
      <c r="L47" s="15">
        <v>2014</v>
      </c>
      <c r="M47" s="16">
        <v>0.0499</v>
      </c>
      <c r="N47" s="20">
        <v>41443</v>
      </c>
      <c r="O47" s="20">
        <v>41443</v>
      </c>
    </row>
    <row r="48" spans="1:15" ht="14.25">
      <c r="A48" s="17">
        <v>2013</v>
      </c>
      <c r="B48" s="18" t="s">
        <v>473</v>
      </c>
      <c r="C48" s="18" t="s">
        <v>474</v>
      </c>
      <c r="D48" s="19">
        <v>1008042</v>
      </c>
      <c r="E48" s="19">
        <v>2</v>
      </c>
      <c r="F48" s="19"/>
      <c r="G48" s="19">
        <v>530</v>
      </c>
      <c r="H48" s="19">
        <v>9.8</v>
      </c>
      <c r="I48" s="19" t="s">
        <v>488</v>
      </c>
      <c r="J48" s="19" t="s">
        <v>112</v>
      </c>
      <c r="K48" s="19" t="b">
        <v>0</v>
      </c>
      <c r="L48" s="15">
        <v>2018</v>
      </c>
      <c r="M48" s="16">
        <v>418</v>
      </c>
      <c r="N48" s="20">
        <v>41443</v>
      </c>
      <c r="O48" s="20">
        <v>41443</v>
      </c>
    </row>
    <row r="49" spans="1:15" ht="14.25">
      <c r="A49" s="17">
        <v>2013</v>
      </c>
      <c r="B49" s="18" t="s">
        <v>473</v>
      </c>
      <c r="C49" s="18" t="s">
        <v>474</v>
      </c>
      <c r="D49" s="19">
        <v>1008042</v>
      </c>
      <c r="E49" s="19">
        <v>2</v>
      </c>
      <c r="F49" s="19"/>
      <c r="G49" s="19">
        <v>600</v>
      </c>
      <c r="H49" s="19">
        <v>11.3</v>
      </c>
      <c r="I49" s="19" t="s">
        <v>476</v>
      </c>
      <c r="J49" s="19" t="s">
        <v>120</v>
      </c>
      <c r="K49" s="19" t="b">
        <v>1</v>
      </c>
      <c r="L49" s="15">
        <v>2013</v>
      </c>
      <c r="M49" s="16">
        <v>2301789.15</v>
      </c>
      <c r="N49" s="20">
        <v>41443</v>
      </c>
      <c r="O49" s="20">
        <v>41443</v>
      </c>
    </row>
    <row r="50" spans="1:15" ht="14.25">
      <c r="A50" s="17">
        <v>2013</v>
      </c>
      <c r="B50" s="18" t="s">
        <v>473</v>
      </c>
      <c r="C50" s="18" t="s">
        <v>474</v>
      </c>
      <c r="D50" s="19">
        <v>1008042</v>
      </c>
      <c r="E50" s="19">
        <v>2</v>
      </c>
      <c r="F50" s="19"/>
      <c r="G50" s="19">
        <v>600</v>
      </c>
      <c r="H50" s="19">
        <v>11.3</v>
      </c>
      <c r="I50" s="19" t="s">
        <v>476</v>
      </c>
      <c r="J50" s="19" t="s">
        <v>120</v>
      </c>
      <c r="K50" s="19" t="b">
        <v>1</v>
      </c>
      <c r="L50" s="15">
        <v>2015</v>
      </c>
      <c r="M50" s="16">
        <v>619721.8</v>
      </c>
      <c r="N50" s="20">
        <v>41443</v>
      </c>
      <c r="O50" s="20">
        <v>41443</v>
      </c>
    </row>
    <row r="51" spans="1:15" ht="14.25">
      <c r="A51" s="17">
        <v>2013</v>
      </c>
      <c r="B51" s="18" t="s">
        <v>473</v>
      </c>
      <c r="C51" s="18" t="s">
        <v>474</v>
      </c>
      <c r="D51" s="19">
        <v>1008042</v>
      </c>
      <c r="E51" s="19">
        <v>2</v>
      </c>
      <c r="F51" s="19"/>
      <c r="G51" s="19">
        <v>505</v>
      </c>
      <c r="H51" s="19" t="s">
        <v>107</v>
      </c>
      <c r="I51" s="19" t="s">
        <v>478</v>
      </c>
      <c r="J51" s="19" t="s">
        <v>108</v>
      </c>
      <c r="K51" s="19" t="b">
        <v>0</v>
      </c>
      <c r="L51" s="15">
        <v>2015</v>
      </c>
      <c r="M51" s="16">
        <v>0.0961</v>
      </c>
      <c r="N51" s="20">
        <v>41443</v>
      </c>
      <c r="O51" s="20">
        <v>41443</v>
      </c>
    </row>
    <row r="52" spans="1:15" ht="14.25">
      <c r="A52" s="17">
        <v>2013</v>
      </c>
      <c r="B52" s="18" t="s">
        <v>473</v>
      </c>
      <c r="C52" s="18" t="s">
        <v>474</v>
      </c>
      <c r="D52" s="19">
        <v>1008042</v>
      </c>
      <c r="E52" s="19">
        <v>2</v>
      </c>
      <c r="F52" s="19"/>
      <c r="G52" s="19">
        <v>30</v>
      </c>
      <c r="H52" s="19" t="s">
        <v>48</v>
      </c>
      <c r="I52" s="19"/>
      <c r="J52" s="19" t="s">
        <v>49</v>
      </c>
      <c r="K52" s="19" t="b">
        <v>1</v>
      </c>
      <c r="L52" s="15">
        <v>2020</v>
      </c>
      <c r="M52" s="16">
        <v>7555759.34</v>
      </c>
      <c r="N52" s="20">
        <v>41443</v>
      </c>
      <c r="O52" s="20">
        <v>41443</v>
      </c>
    </row>
    <row r="53" spans="1:15" ht="14.25">
      <c r="A53" s="17">
        <v>2013</v>
      </c>
      <c r="B53" s="18" t="s">
        <v>473</v>
      </c>
      <c r="C53" s="18" t="s">
        <v>474</v>
      </c>
      <c r="D53" s="19">
        <v>1008042</v>
      </c>
      <c r="E53" s="19">
        <v>2</v>
      </c>
      <c r="F53" s="19"/>
      <c r="G53" s="19">
        <v>30</v>
      </c>
      <c r="H53" s="19" t="s">
        <v>48</v>
      </c>
      <c r="I53" s="19"/>
      <c r="J53" s="19" t="s">
        <v>49</v>
      </c>
      <c r="K53" s="19" t="b">
        <v>1</v>
      </c>
      <c r="L53" s="15">
        <v>2018</v>
      </c>
      <c r="M53" s="16">
        <v>6999177.73</v>
      </c>
      <c r="N53" s="20">
        <v>41443</v>
      </c>
      <c r="O53" s="20">
        <v>41443</v>
      </c>
    </row>
    <row r="54" spans="1:15" ht="14.25">
      <c r="A54" s="17">
        <v>2013</v>
      </c>
      <c r="B54" s="18" t="s">
        <v>473</v>
      </c>
      <c r="C54" s="18" t="s">
        <v>474</v>
      </c>
      <c r="D54" s="19">
        <v>1008042</v>
      </c>
      <c r="E54" s="19">
        <v>2</v>
      </c>
      <c r="F54" s="19"/>
      <c r="G54" s="19">
        <v>30</v>
      </c>
      <c r="H54" s="19" t="s">
        <v>48</v>
      </c>
      <c r="I54" s="19"/>
      <c r="J54" s="19" t="s">
        <v>49</v>
      </c>
      <c r="K54" s="19" t="b">
        <v>1</v>
      </c>
      <c r="L54" s="15">
        <v>2017</v>
      </c>
      <c r="M54" s="16">
        <v>6736455.95</v>
      </c>
      <c r="N54" s="20">
        <v>41443</v>
      </c>
      <c r="O54" s="20">
        <v>41443</v>
      </c>
    </row>
    <row r="55" spans="1:15" ht="14.25">
      <c r="A55" s="17">
        <v>2013</v>
      </c>
      <c r="B55" s="18" t="s">
        <v>473</v>
      </c>
      <c r="C55" s="18" t="s">
        <v>474</v>
      </c>
      <c r="D55" s="19">
        <v>1008042</v>
      </c>
      <c r="E55" s="19">
        <v>2</v>
      </c>
      <c r="F55" s="19"/>
      <c r="G55" s="19">
        <v>200</v>
      </c>
      <c r="H55" s="19">
        <v>3</v>
      </c>
      <c r="I55" s="19" t="s">
        <v>489</v>
      </c>
      <c r="J55" s="19" t="s">
        <v>23</v>
      </c>
      <c r="K55" s="19" t="b">
        <v>0</v>
      </c>
      <c r="L55" s="15">
        <v>2017</v>
      </c>
      <c r="M55" s="16">
        <v>1150000</v>
      </c>
      <c r="N55" s="20">
        <v>41443</v>
      </c>
      <c r="O55" s="20">
        <v>41443</v>
      </c>
    </row>
    <row r="56" spans="1:15" ht="14.25">
      <c r="A56" s="17">
        <v>2013</v>
      </c>
      <c r="B56" s="18" t="s">
        <v>473</v>
      </c>
      <c r="C56" s="18" t="s">
        <v>474</v>
      </c>
      <c r="D56" s="19">
        <v>1008042</v>
      </c>
      <c r="E56" s="19">
        <v>2</v>
      </c>
      <c r="F56" s="19"/>
      <c r="G56" s="19">
        <v>20</v>
      </c>
      <c r="H56" s="19">
        <v>1.1</v>
      </c>
      <c r="I56" s="19"/>
      <c r="J56" s="19" t="s">
        <v>47</v>
      </c>
      <c r="K56" s="19" t="b">
        <v>1</v>
      </c>
      <c r="L56" s="15">
        <v>2019</v>
      </c>
      <c r="M56" s="16">
        <v>24952529.34</v>
      </c>
      <c r="N56" s="20">
        <v>41443</v>
      </c>
      <c r="O56" s="20">
        <v>41443</v>
      </c>
    </row>
    <row r="57" spans="1:15" ht="14.25">
      <c r="A57" s="17">
        <v>2013</v>
      </c>
      <c r="B57" s="18" t="s">
        <v>473</v>
      </c>
      <c r="C57" s="18" t="s">
        <v>474</v>
      </c>
      <c r="D57" s="19">
        <v>1008042</v>
      </c>
      <c r="E57" s="19">
        <v>2</v>
      </c>
      <c r="F57" s="19"/>
      <c r="G57" s="19">
        <v>580</v>
      </c>
      <c r="H57" s="19">
        <v>11.1</v>
      </c>
      <c r="I57" s="19"/>
      <c r="J57" s="19" t="s">
        <v>118</v>
      </c>
      <c r="K57" s="19" t="b">
        <v>0</v>
      </c>
      <c r="L57" s="15">
        <v>2020</v>
      </c>
      <c r="M57" s="16">
        <v>12205712.11</v>
      </c>
      <c r="N57" s="20">
        <v>41443</v>
      </c>
      <c r="O57" s="20">
        <v>41443</v>
      </c>
    </row>
    <row r="58" spans="1:15" ht="14.25">
      <c r="A58" s="17">
        <v>2013</v>
      </c>
      <c r="B58" s="18" t="s">
        <v>473</v>
      </c>
      <c r="C58" s="18" t="s">
        <v>474</v>
      </c>
      <c r="D58" s="19">
        <v>1008042</v>
      </c>
      <c r="E58" s="19">
        <v>2</v>
      </c>
      <c r="F58" s="19"/>
      <c r="G58" s="19">
        <v>130</v>
      </c>
      <c r="H58" s="19">
        <v>2.1</v>
      </c>
      <c r="I58" s="19"/>
      <c r="J58" s="19" t="s">
        <v>65</v>
      </c>
      <c r="K58" s="19" t="b">
        <v>1</v>
      </c>
      <c r="L58" s="15">
        <v>2018</v>
      </c>
      <c r="M58" s="16">
        <v>21634436.03</v>
      </c>
      <c r="N58" s="20">
        <v>41443</v>
      </c>
      <c r="O58" s="20">
        <v>41443</v>
      </c>
    </row>
    <row r="59" spans="1:15" ht="14.25">
      <c r="A59" s="17">
        <v>2013</v>
      </c>
      <c r="B59" s="18" t="s">
        <v>473</v>
      </c>
      <c r="C59" s="18" t="s">
        <v>474</v>
      </c>
      <c r="D59" s="19">
        <v>1008042</v>
      </c>
      <c r="E59" s="19">
        <v>2</v>
      </c>
      <c r="F59" s="19"/>
      <c r="G59" s="19">
        <v>470</v>
      </c>
      <c r="H59" s="19">
        <v>9.3</v>
      </c>
      <c r="I59" s="19" t="s">
        <v>480</v>
      </c>
      <c r="J59" s="19" t="s">
        <v>481</v>
      </c>
      <c r="K59" s="19" t="b">
        <v>1</v>
      </c>
      <c r="L59" s="15">
        <v>2016</v>
      </c>
      <c r="M59" s="16">
        <v>0.0593</v>
      </c>
      <c r="N59" s="20">
        <v>41443</v>
      </c>
      <c r="O59" s="20">
        <v>41443</v>
      </c>
    </row>
    <row r="60" spans="1:15" ht="14.25">
      <c r="A60" s="17">
        <v>2013</v>
      </c>
      <c r="B60" s="18" t="s">
        <v>473</v>
      </c>
      <c r="C60" s="18" t="s">
        <v>474</v>
      </c>
      <c r="D60" s="19">
        <v>1008042</v>
      </c>
      <c r="E60" s="19">
        <v>2</v>
      </c>
      <c r="F60" s="19"/>
      <c r="G60" s="19">
        <v>630</v>
      </c>
      <c r="H60" s="19">
        <v>11.4</v>
      </c>
      <c r="I60" s="19"/>
      <c r="J60" s="19" t="s">
        <v>125</v>
      </c>
      <c r="K60" s="19" t="b">
        <v>1</v>
      </c>
      <c r="L60" s="15">
        <v>2016</v>
      </c>
      <c r="M60" s="16">
        <v>700000</v>
      </c>
      <c r="N60" s="20">
        <v>41443</v>
      </c>
      <c r="O60" s="20">
        <v>41443</v>
      </c>
    </row>
    <row r="61" spans="1:15" ht="14.25">
      <c r="A61" s="17">
        <v>2013</v>
      </c>
      <c r="B61" s="18" t="s">
        <v>473</v>
      </c>
      <c r="C61" s="18" t="s">
        <v>474</v>
      </c>
      <c r="D61" s="19">
        <v>1008042</v>
      </c>
      <c r="E61" s="19">
        <v>2</v>
      </c>
      <c r="F61" s="19"/>
      <c r="G61" s="19">
        <v>520</v>
      </c>
      <c r="H61" s="19" t="s">
        <v>110</v>
      </c>
      <c r="I61" s="19"/>
      <c r="J61" s="19" t="s">
        <v>475</v>
      </c>
      <c r="K61" s="19" t="b">
        <v>1</v>
      </c>
      <c r="L61" s="15">
        <v>2019</v>
      </c>
      <c r="M61" s="16">
        <v>0.0983</v>
      </c>
      <c r="N61" s="20">
        <v>41443</v>
      </c>
      <c r="O61" s="20">
        <v>41443</v>
      </c>
    </row>
    <row r="62" spans="1:15" ht="14.25">
      <c r="A62" s="17">
        <v>2013</v>
      </c>
      <c r="B62" s="18" t="s">
        <v>473</v>
      </c>
      <c r="C62" s="18" t="s">
        <v>474</v>
      </c>
      <c r="D62" s="19">
        <v>1008042</v>
      </c>
      <c r="E62" s="19">
        <v>2</v>
      </c>
      <c r="F62" s="19"/>
      <c r="G62" s="19">
        <v>130</v>
      </c>
      <c r="H62" s="19">
        <v>2.1</v>
      </c>
      <c r="I62" s="19"/>
      <c r="J62" s="19" t="s">
        <v>65</v>
      </c>
      <c r="K62" s="19" t="b">
        <v>1</v>
      </c>
      <c r="L62" s="15">
        <v>2014</v>
      </c>
      <c r="M62" s="16">
        <v>19411928.99</v>
      </c>
      <c r="N62" s="20">
        <v>41443</v>
      </c>
      <c r="O62" s="20">
        <v>41443</v>
      </c>
    </row>
    <row r="63" spans="1:15" ht="14.25">
      <c r="A63" s="17">
        <v>2013</v>
      </c>
      <c r="B63" s="18" t="s">
        <v>473</v>
      </c>
      <c r="C63" s="18" t="s">
        <v>474</v>
      </c>
      <c r="D63" s="19">
        <v>1008042</v>
      </c>
      <c r="E63" s="19">
        <v>2</v>
      </c>
      <c r="F63" s="19"/>
      <c r="G63" s="19">
        <v>310</v>
      </c>
      <c r="H63" s="19">
        <v>5.1</v>
      </c>
      <c r="I63" s="19"/>
      <c r="J63" s="19" t="s">
        <v>88</v>
      </c>
      <c r="K63" s="19" t="b">
        <v>1</v>
      </c>
      <c r="L63" s="15">
        <v>2018</v>
      </c>
      <c r="M63" s="16">
        <v>1123921</v>
      </c>
      <c r="N63" s="20">
        <v>41443</v>
      </c>
      <c r="O63" s="20">
        <v>41443</v>
      </c>
    </row>
    <row r="64" spans="1:15" ht="14.25">
      <c r="A64" s="17">
        <v>2013</v>
      </c>
      <c r="B64" s="18" t="s">
        <v>473</v>
      </c>
      <c r="C64" s="18" t="s">
        <v>474</v>
      </c>
      <c r="D64" s="19">
        <v>1008042</v>
      </c>
      <c r="E64" s="19">
        <v>2</v>
      </c>
      <c r="F64" s="19"/>
      <c r="G64" s="19">
        <v>450</v>
      </c>
      <c r="H64" s="19">
        <v>9.1</v>
      </c>
      <c r="I64" s="19" t="s">
        <v>480</v>
      </c>
      <c r="J64" s="19" t="s">
        <v>102</v>
      </c>
      <c r="K64" s="19" t="b">
        <v>1</v>
      </c>
      <c r="L64" s="15">
        <v>2013</v>
      </c>
      <c r="M64" s="16">
        <v>0.073</v>
      </c>
      <c r="N64" s="20">
        <v>41443</v>
      </c>
      <c r="O64" s="20">
        <v>41443</v>
      </c>
    </row>
    <row r="65" spans="1:15" ht="14.25">
      <c r="A65" s="17">
        <v>2013</v>
      </c>
      <c r="B65" s="18" t="s">
        <v>473</v>
      </c>
      <c r="C65" s="18" t="s">
        <v>474</v>
      </c>
      <c r="D65" s="19">
        <v>1008042</v>
      </c>
      <c r="E65" s="19">
        <v>2</v>
      </c>
      <c r="F65" s="19"/>
      <c r="G65" s="19">
        <v>630</v>
      </c>
      <c r="H65" s="19">
        <v>11.4</v>
      </c>
      <c r="I65" s="19"/>
      <c r="J65" s="19" t="s">
        <v>125</v>
      </c>
      <c r="K65" s="19" t="b">
        <v>1</v>
      </c>
      <c r="L65" s="15">
        <v>2013</v>
      </c>
      <c r="M65" s="16">
        <v>2067000</v>
      </c>
      <c r="N65" s="20">
        <v>41443</v>
      </c>
      <c r="O65" s="20">
        <v>41443</v>
      </c>
    </row>
    <row r="66" spans="1:15" ht="14.25">
      <c r="A66" s="17">
        <v>2013</v>
      </c>
      <c r="B66" s="18" t="s">
        <v>473</v>
      </c>
      <c r="C66" s="18" t="s">
        <v>474</v>
      </c>
      <c r="D66" s="19">
        <v>1008042</v>
      </c>
      <c r="E66" s="19">
        <v>2</v>
      </c>
      <c r="F66" s="19"/>
      <c r="G66" s="19">
        <v>60</v>
      </c>
      <c r="H66" s="19" t="s">
        <v>54</v>
      </c>
      <c r="I66" s="19"/>
      <c r="J66" s="19" t="s">
        <v>55</v>
      </c>
      <c r="K66" s="19" t="b">
        <v>1</v>
      </c>
      <c r="L66" s="15">
        <v>2020</v>
      </c>
      <c r="M66" s="16">
        <v>3796845.48</v>
      </c>
      <c r="N66" s="20">
        <v>41443</v>
      </c>
      <c r="O66" s="20">
        <v>41443</v>
      </c>
    </row>
    <row r="67" spans="1:15" ht="14.25">
      <c r="A67" s="17">
        <v>2013</v>
      </c>
      <c r="B67" s="18" t="s">
        <v>473</v>
      </c>
      <c r="C67" s="18" t="s">
        <v>474</v>
      </c>
      <c r="D67" s="19">
        <v>1008042</v>
      </c>
      <c r="E67" s="19">
        <v>2</v>
      </c>
      <c r="F67" s="19"/>
      <c r="G67" s="19">
        <v>510</v>
      </c>
      <c r="H67" s="19">
        <v>9.7</v>
      </c>
      <c r="I67" s="19"/>
      <c r="J67" s="19" t="s">
        <v>482</v>
      </c>
      <c r="K67" s="19" t="b">
        <v>1</v>
      </c>
      <c r="L67" s="15">
        <v>2015</v>
      </c>
      <c r="M67" s="16">
        <v>0.0439</v>
      </c>
      <c r="N67" s="20">
        <v>41443</v>
      </c>
      <c r="O67" s="20">
        <v>41443</v>
      </c>
    </row>
    <row r="68" spans="1:15" ht="14.25">
      <c r="A68" s="17">
        <v>2013</v>
      </c>
      <c r="B68" s="18" t="s">
        <v>473</v>
      </c>
      <c r="C68" s="18" t="s">
        <v>474</v>
      </c>
      <c r="D68" s="19">
        <v>1008042</v>
      </c>
      <c r="E68" s="19">
        <v>2</v>
      </c>
      <c r="F68" s="19"/>
      <c r="G68" s="19">
        <v>550</v>
      </c>
      <c r="H68" s="19">
        <v>10</v>
      </c>
      <c r="I68" s="19"/>
      <c r="J68" s="19" t="s">
        <v>115</v>
      </c>
      <c r="K68" s="19" t="b">
        <v>0</v>
      </c>
      <c r="L68" s="15">
        <v>2016</v>
      </c>
      <c r="M68" s="16">
        <v>1050000</v>
      </c>
      <c r="N68" s="20">
        <v>41443</v>
      </c>
      <c r="O68" s="20">
        <v>41443</v>
      </c>
    </row>
    <row r="69" spans="1:15" ht="14.25">
      <c r="A69" s="17">
        <v>2013</v>
      </c>
      <c r="B69" s="18" t="s">
        <v>473</v>
      </c>
      <c r="C69" s="18" t="s">
        <v>474</v>
      </c>
      <c r="D69" s="19">
        <v>1008042</v>
      </c>
      <c r="E69" s="19">
        <v>2</v>
      </c>
      <c r="F69" s="19"/>
      <c r="G69" s="19">
        <v>520</v>
      </c>
      <c r="H69" s="19" t="s">
        <v>110</v>
      </c>
      <c r="I69" s="19"/>
      <c r="J69" s="19" t="s">
        <v>475</v>
      </c>
      <c r="K69" s="19" t="b">
        <v>1</v>
      </c>
      <c r="L69" s="15">
        <v>2016</v>
      </c>
      <c r="M69" s="16">
        <v>0.0724</v>
      </c>
      <c r="N69" s="20">
        <v>41443</v>
      </c>
      <c r="O69" s="20">
        <v>41443</v>
      </c>
    </row>
    <row r="70" spans="1:15" ht="14.25">
      <c r="A70" s="17">
        <v>2013</v>
      </c>
      <c r="B70" s="18" t="s">
        <v>473</v>
      </c>
      <c r="C70" s="18" t="s">
        <v>474</v>
      </c>
      <c r="D70" s="19">
        <v>1008042</v>
      </c>
      <c r="E70" s="19">
        <v>2</v>
      </c>
      <c r="F70" s="19"/>
      <c r="G70" s="19">
        <v>130</v>
      </c>
      <c r="H70" s="19">
        <v>2.1</v>
      </c>
      <c r="I70" s="19"/>
      <c r="J70" s="19" t="s">
        <v>65</v>
      </c>
      <c r="K70" s="19" t="b">
        <v>1</v>
      </c>
      <c r="L70" s="15">
        <v>2016</v>
      </c>
      <c r="M70" s="16">
        <v>20078095.44</v>
      </c>
      <c r="N70" s="20">
        <v>41443</v>
      </c>
      <c r="O70" s="20">
        <v>41443</v>
      </c>
    </row>
    <row r="71" spans="1:15" ht="14.25">
      <c r="A71" s="17">
        <v>2013</v>
      </c>
      <c r="B71" s="18" t="s">
        <v>473</v>
      </c>
      <c r="C71" s="18" t="s">
        <v>474</v>
      </c>
      <c r="D71" s="19">
        <v>1008042</v>
      </c>
      <c r="E71" s="19">
        <v>2</v>
      </c>
      <c r="F71" s="19"/>
      <c r="G71" s="19">
        <v>460</v>
      </c>
      <c r="H71" s="19">
        <v>9.2</v>
      </c>
      <c r="I71" s="19" t="s">
        <v>479</v>
      </c>
      <c r="J71" s="19" t="s">
        <v>103</v>
      </c>
      <c r="K71" s="19" t="b">
        <v>0</v>
      </c>
      <c r="L71" s="15">
        <v>2015</v>
      </c>
      <c r="M71" s="16">
        <v>0.0517</v>
      </c>
      <c r="N71" s="20">
        <v>41443</v>
      </c>
      <c r="O71" s="20">
        <v>41443</v>
      </c>
    </row>
    <row r="72" spans="1:15" ht="14.25">
      <c r="A72" s="17">
        <v>2013</v>
      </c>
      <c r="B72" s="18" t="s">
        <v>473</v>
      </c>
      <c r="C72" s="18" t="s">
        <v>474</v>
      </c>
      <c r="D72" s="19">
        <v>1008042</v>
      </c>
      <c r="E72" s="19">
        <v>2</v>
      </c>
      <c r="F72" s="19"/>
      <c r="G72" s="19">
        <v>505</v>
      </c>
      <c r="H72" s="19" t="s">
        <v>107</v>
      </c>
      <c r="I72" s="19" t="s">
        <v>478</v>
      </c>
      <c r="J72" s="19" t="s">
        <v>108</v>
      </c>
      <c r="K72" s="19" t="b">
        <v>0</v>
      </c>
      <c r="L72" s="15">
        <v>2019</v>
      </c>
      <c r="M72" s="16">
        <v>0.1018</v>
      </c>
      <c r="N72" s="20">
        <v>41443</v>
      </c>
      <c r="O72" s="20">
        <v>41443</v>
      </c>
    </row>
    <row r="73" spans="1:15" ht="14.25">
      <c r="A73" s="17">
        <v>2013</v>
      </c>
      <c r="B73" s="18" t="s">
        <v>473</v>
      </c>
      <c r="C73" s="18" t="s">
        <v>474</v>
      </c>
      <c r="D73" s="19">
        <v>1008042</v>
      </c>
      <c r="E73" s="19">
        <v>2</v>
      </c>
      <c r="F73" s="19"/>
      <c r="G73" s="19">
        <v>680</v>
      </c>
      <c r="H73" s="19" t="s">
        <v>130</v>
      </c>
      <c r="I73" s="19"/>
      <c r="J73" s="19" t="s">
        <v>131</v>
      </c>
      <c r="K73" s="19" t="b">
        <v>1</v>
      </c>
      <c r="L73" s="15">
        <v>2014</v>
      </c>
      <c r="M73" s="16">
        <v>241528.18</v>
      </c>
      <c r="N73" s="20">
        <v>41443</v>
      </c>
      <c r="O73" s="20">
        <v>41443</v>
      </c>
    </row>
    <row r="74" spans="1:15" ht="14.25">
      <c r="A74" s="17">
        <v>2013</v>
      </c>
      <c r="B74" s="18" t="s">
        <v>473</v>
      </c>
      <c r="C74" s="18" t="s">
        <v>474</v>
      </c>
      <c r="D74" s="19">
        <v>1008042</v>
      </c>
      <c r="E74" s="19">
        <v>2</v>
      </c>
      <c r="F74" s="19"/>
      <c r="G74" s="19">
        <v>170</v>
      </c>
      <c r="H74" s="19" t="s">
        <v>72</v>
      </c>
      <c r="I74" s="19"/>
      <c r="J74" s="19" t="s">
        <v>73</v>
      </c>
      <c r="K74" s="19" t="b">
        <v>1</v>
      </c>
      <c r="L74" s="15">
        <v>2013</v>
      </c>
      <c r="M74" s="16">
        <v>400000</v>
      </c>
      <c r="N74" s="20">
        <v>41443</v>
      </c>
      <c r="O74" s="20">
        <v>41443</v>
      </c>
    </row>
    <row r="75" spans="1:15" ht="14.25">
      <c r="A75" s="17">
        <v>2013</v>
      </c>
      <c r="B75" s="18" t="s">
        <v>473</v>
      </c>
      <c r="C75" s="18" t="s">
        <v>474</v>
      </c>
      <c r="D75" s="19">
        <v>1008042</v>
      </c>
      <c r="E75" s="19">
        <v>2</v>
      </c>
      <c r="F75" s="19"/>
      <c r="G75" s="19">
        <v>520</v>
      </c>
      <c r="H75" s="19" t="s">
        <v>110</v>
      </c>
      <c r="I75" s="19"/>
      <c r="J75" s="19" t="s">
        <v>475</v>
      </c>
      <c r="K75" s="19" t="b">
        <v>1</v>
      </c>
      <c r="L75" s="15">
        <v>2020</v>
      </c>
      <c r="M75" s="16">
        <v>0.0998</v>
      </c>
      <c r="N75" s="20">
        <v>41443</v>
      </c>
      <c r="O75" s="20">
        <v>41443</v>
      </c>
    </row>
    <row r="76" spans="1:15" ht="14.25">
      <c r="A76" s="17">
        <v>2013</v>
      </c>
      <c r="B76" s="18" t="s">
        <v>473</v>
      </c>
      <c r="C76" s="18" t="s">
        <v>474</v>
      </c>
      <c r="D76" s="19">
        <v>1008042</v>
      </c>
      <c r="E76" s="19">
        <v>2</v>
      </c>
      <c r="F76" s="19"/>
      <c r="G76" s="19">
        <v>730</v>
      </c>
      <c r="H76" s="19">
        <v>12.3</v>
      </c>
      <c r="I76" s="19"/>
      <c r="J76" s="19" t="s">
        <v>139</v>
      </c>
      <c r="K76" s="19" t="b">
        <v>0</v>
      </c>
      <c r="L76" s="15">
        <v>2014</v>
      </c>
      <c r="M76" s="16">
        <v>316789.29</v>
      </c>
      <c r="N76" s="20">
        <v>41443</v>
      </c>
      <c r="O76" s="20">
        <v>41443</v>
      </c>
    </row>
    <row r="77" spans="1:15" ht="14.25">
      <c r="A77" s="17">
        <v>2013</v>
      </c>
      <c r="B77" s="18" t="s">
        <v>473</v>
      </c>
      <c r="C77" s="18" t="s">
        <v>474</v>
      </c>
      <c r="D77" s="19">
        <v>1008042</v>
      </c>
      <c r="E77" s="19">
        <v>2</v>
      </c>
      <c r="F77" s="19"/>
      <c r="G77" s="19">
        <v>510</v>
      </c>
      <c r="H77" s="19">
        <v>9.7</v>
      </c>
      <c r="I77" s="19"/>
      <c r="J77" s="19" t="s">
        <v>482</v>
      </c>
      <c r="K77" s="19" t="b">
        <v>1</v>
      </c>
      <c r="L77" s="15">
        <v>2020</v>
      </c>
      <c r="M77" s="16">
        <v>0.0998</v>
      </c>
      <c r="N77" s="20">
        <v>41443</v>
      </c>
      <c r="O77" s="20">
        <v>41443</v>
      </c>
    </row>
    <row r="78" spans="1:15" ht="14.25">
      <c r="A78" s="17">
        <v>2013</v>
      </c>
      <c r="B78" s="18" t="s">
        <v>473</v>
      </c>
      <c r="C78" s="18" t="s">
        <v>474</v>
      </c>
      <c r="D78" s="19">
        <v>1008042</v>
      </c>
      <c r="E78" s="19">
        <v>2</v>
      </c>
      <c r="F78" s="19"/>
      <c r="G78" s="19">
        <v>430</v>
      </c>
      <c r="H78" s="19">
        <v>8.2</v>
      </c>
      <c r="I78" s="19" t="s">
        <v>490</v>
      </c>
      <c r="J78" s="19" t="s">
        <v>101</v>
      </c>
      <c r="K78" s="19" t="b">
        <v>0</v>
      </c>
      <c r="L78" s="15">
        <v>2013</v>
      </c>
      <c r="M78" s="16">
        <v>2069179</v>
      </c>
      <c r="N78" s="20">
        <v>41443</v>
      </c>
      <c r="O78" s="20">
        <v>41443</v>
      </c>
    </row>
    <row r="79" spans="1:15" ht="14.25">
      <c r="A79" s="17">
        <v>2013</v>
      </c>
      <c r="B79" s="18" t="s">
        <v>473</v>
      </c>
      <c r="C79" s="18" t="s">
        <v>474</v>
      </c>
      <c r="D79" s="19">
        <v>1008042</v>
      </c>
      <c r="E79" s="19">
        <v>2</v>
      </c>
      <c r="F79" s="19"/>
      <c r="G79" s="19">
        <v>90</v>
      </c>
      <c r="H79" s="19">
        <v>1.2</v>
      </c>
      <c r="I79" s="19"/>
      <c r="J79" s="19" t="s">
        <v>60</v>
      </c>
      <c r="K79" s="19" t="b">
        <v>1</v>
      </c>
      <c r="L79" s="15">
        <v>2013</v>
      </c>
      <c r="M79" s="16">
        <v>258000</v>
      </c>
      <c r="N79" s="20">
        <v>41443</v>
      </c>
      <c r="O79" s="20">
        <v>41443</v>
      </c>
    </row>
    <row r="80" spans="1:15" ht="14.25">
      <c r="A80" s="17">
        <v>2013</v>
      </c>
      <c r="B80" s="18" t="s">
        <v>473</v>
      </c>
      <c r="C80" s="18" t="s">
        <v>474</v>
      </c>
      <c r="D80" s="19">
        <v>1008042</v>
      </c>
      <c r="E80" s="19">
        <v>2</v>
      </c>
      <c r="F80" s="19"/>
      <c r="G80" s="19">
        <v>880</v>
      </c>
      <c r="H80" s="19">
        <v>14.1</v>
      </c>
      <c r="I80" s="19"/>
      <c r="J80" s="19" t="s">
        <v>158</v>
      </c>
      <c r="K80" s="19" t="b">
        <v>1</v>
      </c>
      <c r="L80" s="15">
        <v>2018</v>
      </c>
      <c r="M80" s="16">
        <v>600000</v>
      </c>
      <c r="N80" s="20">
        <v>41443</v>
      </c>
      <c r="O80" s="20">
        <v>41443</v>
      </c>
    </row>
    <row r="81" spans="1:15" ht="14.25">
      <c r="A81" s="17">
        <v>2013</v>
      </c>
      <c r="B81" s="18" t="s">
        <v>473</v>
      </c>
      <c r="C81" s="18" t="s">
        <v>474</v>
      </c>
      <c r="D81" s="19">
        <v>1008042</v>
      </c>
      <c r="E81" s="19">
        <v>2</v>
      </c>
      <c r="F81" s="19"/>
      <c r="G81" s="19">
        <v>620</v>
      </c>
      <c r="H81" s="19" t="s">
        <v>123</v>
      </c>
      <c r="I81" s="19"/>
      <c r="J81" s="19" t="s">
        <v>124</v>
      </c>
      <c r="K81" s="19" t="b">
        <v>1</v>
      </c>
      <c r="L81" s="15">
        <v>2013</v>
      </c>
      <c r="M81" s="16">
        <v>2067000</v>
      </c>
      <c r="N81" s="20">
        <v>41443</v>
      </c>
      <c r="O81" s="20">
        <v>41443</v>
      </c>
    </row>
    <row r="82" spans="1:15" ht="14.25">
      <c r="A82" s="17">
        <v>2013</v>
      </c>
      <c r="B82" s="18" t="s">
        <v>473</v>
      </c>
      <c r="C82" s="18" t="s">
        <v>474</v>
      </c>
      <c r="D82" s="19">
        <v>1008042</v>
      </c>
      <c r="E82" s="19">
        <v>2</v>
      </c>
      <c r="F82" s="19"/>
      <c r="G82" s="19">
        <v>690</v>
      </c>
      <c r="H82" s="19" t="s">
        <v>132</v>
      </c>
      <c r="I82" s="19"/>
      <c r="J82" s="19" t="s">
        <v>133</v>
      </c>
      <c r="K82" s="19" t="b">
        <v>1</v>
      </c>
      <c r="L82" s="15">
        <v>2014</v>
      </c>
      <c r="M82" s="16">
        <v>241528.18</v>
      </c>
      <c r="N82" s="20">
        <v>41443</v>
      </c>
      <c r="O82" s="20">
        <v>41443</v>
      </c>
    </row>
    <row r="83" spans="1:15" ht="14.25">
      <c r="A83" s="17">
        <v>2013</v>
      </c>
      <c r="B83" s="18" t="s">
        <v>473</v>
      </c>
      <c r="C83" s="18" t="s">
        <v>474</v>
      </c>
      <c r="D83" s="19">
        <v>1008042</v>
      </c>
      <c r="E83" s="19">
        <v>2</v>
      </c>
      <c r="F83" s="19"/>
      <c r="G83" s="19">
        <v>60</v>
      </c>
      <c r="H83" s="19" t="s">
        <v>54</v>
      </c>
      <c r="I83" s="19"/>
      <c r="J83" s="19" t="s">
        <v>55</v>
      </c>
      <c r="K83" s="19" t="b">
        <v>1</v>
      </c>
      <c r="L83" s="15">
        <v>2014</v>
      </c>
      <c r="M83" s="16">
        <v>3032666.45</v>
      </c>
      <c r="N83" s="20">
        <v>41443</v>
      </c>
      <c r="O83" s="20">
        <v>41443</v>
      </c>
    </row>
    <row r="84" spans="1:15" ht="14.25">
      <c r="A84" s="17">
        <v>2013</v>
      </c>
      <c r="B84" s="18" t="s">
        <v>473</v>
      </c>
      <c r="C84" s="18" t="s">
        <v>474</v>
      </c>
      <c r="D84" s="19">
        <v>1008042</v>
      </c>
      <c r="E84" s="19">
        <v>2</v>
      </c>
      <c r="F84" s="19"/>
      <c r="G84" s="19">
        <v>80</v>
      </c>
      <c r="H84" s="19" t="s">
        <v>58</v>
      </c>
      <c r="I84" s="19"/>
      <c r="J84" s="19" t="s">
        <v>59</v>
      </c>
      <c r="K84" s="19" t="b">
        <v>1</v>
      </c>
      <c r="L84" s="15">
        <v>2013</v>
      </c>
      <c r="M84" s="16">
        <v>2947193.12</v>
      </c>
      <c r="N84" s="20">
        <v>41443</v>
      </c>
      <c r="O84" s="20">
        <v>41443</v>
      </c>
    </row>
    <row r="85" spans="1:15" ht="14.25">
      <c r="A85" s="17">
        <v>2013</v>
      </c>
      <c r="B85" s="18" t="s">
        <v>473</v>
      </c>
      <c r="C85" s="18" t="s">
        <v>474</v>
      </c>
      <c r="D85" s="19">
        <v>1008042</v>
      </c>
      <c r="E85" s="19">
        <v>2</v>
      </c>
      <c r="F85" s="19"/>
      <c r="G85" s="19">
        <v>450</v>
      </c>
      <c r="H85" s="19">
        <v>9.1</v>
      </c>
      <c r="I85" s="19" t="s">
        <v>480</v>
      </c>
      <c r="J85" s="19" t="s">
        <v>102</v>
      </c>
      <c r="K85" s="19" t="b">
        <v>1</v>
      </c>
      <c r="L85" s="15">
        <v>2017</v>
      </c>
      <c r="M85" s="16">
        <v>0.0601</v>
      </c>
      <c r="N85" s="20">
        <v>41443</v>
      </c>
      <c r="O85" s="20">
        <v>41443</v>
      </c>
    </row>
    <row r="86" spans="1:15" ht="14.25">
      <c r="A86" s="17">
        <v>2013</v>
      </c>
      <c r="B86" s="18" t="s">
        <v>473</v>
      </c>
      <c r="C86" s="18" t="s">
        <v>474</v>
      </c>
      <c r="D86" s="19">
        <v>1008042</v>
      </c>
      <c r="E86" s="19">
        <v>2</v>
      </c>
      <c r="F86" s="19"/>
      <c r="G86" s="19">
        <v>300</v>
      </c>
      <c r="H86" s="19">
        <v>5</v>
      </c>
      <c r="I86" s="19" t="s">
        <v>484</v>
      </c>
      <c r="J86" s="19" t="s">
        <v>87</v>
      </c>
      <c r="K86" s="19" t="b">
        <v>0</v>
      </c>
      <c r="L86" s="15">
        <v>2015</v>
      </c>
      <c r="M86" s="16">
        <v>826000</v>
      </c>
      <c r="N86" s="20">
        <v>41443</v>
      </c>
      <c r="O86" s="20">
        <v>41443</v>
      </c>
    </row>
    <row r="87" spans="1:15" ht="14.25">
      <c r="A87" s="17">
        <v>2013</v>
      </c>
      <c r="B87" s="18" t="s">
        <v>473</v>
      </c>
      <c r="C87" s="18" t="s">
        <v>474</v>
      </c>
      <c r="D87" s="19">
        <v>1008042</v>
      </c>
      <c r="E87" s="19">
        <v>2</v>
      </c>
      <c r="F87" s="19"/>
      <c r="G87" s="19">
        <v>550</v>
      </c>
      <c r="H87" s="19">
        <v>10</v>
      </c>
      <c r="I87" s="19"/>
      <c r="J87" s="19" t="s">
        <v>115</v>
      </c>
      <c r="K87" s="19" t="b">
        <v>0</v>
      </c>
      <c r="L87" s="15">
        <v>2015</v>
      </c>
      <c r="M87" s="16">
        <v>826000</v>
      </c>
      <c r="N87" s="20">
        <v>41443</v>
      </c>
      <c r="O87" s="20">
        <v>41443</v>
      </c>
    </row>
    <row r="88" spans="1:15" ht="14.25">
      <c r="A88" s="17">
        <v>2013</v>
      </c>
      <c r="B88" s="18" t="s">
        <v>473</v>
      </c>
      <c r="C88" s="18" t="s">
        <v>474</v>
      </c>
      <c r="D88" s="19">
        <v>1008042</v>
      </c>
      <c r="E88" s="19">
        <v>2</v>
      </c>
      <c r="F88" s="19"/>
      <c r="G88" s="19">
        <v>590</v>
      </c>
      <c r="H88" s="19">
        <v>11.2</v>
      </c>
      <c r="I88" s="19"/>
      <c r="J88" s="19" t="s">
        <v>119</v>
      </c>
      <c r="K88" s="19" t="b">
        <v>1</v>
      </c>
      <c r="L88" s="15">
        <v>2016</v>
      </c>
      <c r="M88" s="16">
        <v>2645099.97</v>
      </c>
      <c r="N88" s="20">
        <v>41443</v>
      </c>
      <c r="O88" s="20">
        <v>41443</v>
      </c>
    </row>
    <row r="89" spans="1:15" ht="14.25">
      <c r="A89" s="17">
        <v>2013</v>
      </c>
      <c r="B89" s="18" t="s">
        <v>473</v>
      </c>
      <c r="C89" s="18" t="s">
        <v>474</v>
      </c>
      <c r="D89" s="19">
        <v>1008042</v>
      </c>
      <c r="E89" s="19">
        <v>2</v>
      </c>
      <c r="F89" s="19"/>
      <c r="G89" s="19">
        <v>300</v>
      </c>
      <c r="H89" s="19">
        <v>5</v>
      </c>
      <c r="I89" s="19" t="s">
        <v>484</v>
      </c>
      <c r="J89" s="19" t="s">
        <v>87</v>
      </c>
      <c r="K89" s="19" t="b">
        <v>0</v>
      </c>
      <c r="L89" s="15">
        <v>2018</v>
      </c>
      <c r="M89" s="16">
        <v>1123921</v>
      </c>
      <c r="N89" s="20">
        <v>41443</v>
      </c>
      <c r="O89" s="20">
        <v>41443</v>
      </c>
    </row>
    <row r="90" spans="1:15" ht="14.25">
      <c r="A90" s="17">
        <v>2013</v>
      </c>
      <c r="B90" s="18" t="s">
        <v>473</v>
      </c>
      <c r="C90" s="18" t="s">
        <v>474</v>
      </c>
      <c r="D90" s="19">
        <v>1008042</v>
      </c>
      <c r="E90" s="19">
        <v>2</v>
      </c>
      <c r="F90" s="19"/>
      <c r="G90" s="19">
        <v>720</v>
      </c>
      <c r="H90" s="19" t="s">
        <v>137</v>
      </c>
      <c r="I90" s="19"/>
      <c r="J90" s="19" t="s">
        <v>138</v>
      </c>
      <c r="K90" s="19" t="b">
        <v>0</v>
      </c>
      <c r="L90" s="15">
        <v>2013</v>
      </c>
      <c r="M90" s="16">
        <v>196000</v>
      </c>
      <c r="N90" s="20">
        <v>41443</v>
      </c>
      <c r="O90" s="20">
        <v>41443</v>
      </c>
    </row>
    <row r="91" spans="1:15" ht="14.25">
      <c r="A91" s="17">
        <v>2013</v>
      </c>
      <c r="B91" s="18" t="s">
        <v>473</v>
      </c>
      <c r="C91" s="18" t="s">
        <v>474</v>
      </c>
      <c r="D91" s="19">
        <v>1008042</v>
      </c>
      <c r="E91" s="19">
        <v>2</v>
      </c>
      <c r="F91" s="19"/>
      <c r="G91" s="19">
        <v>30</v>
      </c>
      <c r="H91" s="19" t="s">
        <v>48</v>
      </c>
      <c r="I91" s="19"/>
      <c r="J91" s="19" t="s">
        <v>49</v>
      </c>
      <c r="K91" s="19" t="b">
        <v>1</v>
      </c>
      <c r="L91" s="15">
        <v>2015</v>
      </c>
      <c r="M91" s="16">
        <v>6240226.87</v>
      </c>
      <c r="N91" s="20">
        <v>41443</v>
      </c>
      <c r="O91" s="20">
        <v>41443</v>
      </c>
    </row>
    <row r="92" spans="1:15" ht="14.25">
      <c r="A92" s="17">
        <v>2013</v>
      </c>
      <c r="B92" s="18" t="s">
        <v>473</v>
      </c>
      <c r="C92" s="18" t="s">
        <v>474</v>
      </c>
      <c r="D92" s="19">
        <v>1008042</v>
      </c>
      <c r="E92" s="19">
        <v>2</v>
      </c>
      <c r="F92" s="19"/>
      <c r="G92" s="19">
        <v>460</v>
      </c>
      <c r="H92" s="19">
        <v>9.2</v>
      </c>
      <c r="I92" s="19" t="s">
        <v>479</v>
      </c>
      <c r="J92" s="19" t="s">
        <v>103</v>
      </c>
      <c r="K92" s="19" t="b">
        <v>0</v>
      </c>
      <c r="L92" s="15">
        <v>2020</v>
      </c>
      <c r="M92" s="16">
        <v>0.0143</v>
      </c>
      <c r="N92" s="20">
        <v>41443</v>
      </c>
      <c r="O92" s="20">
        <v>41443</v>
      </c>
    </row>
    <row r="93" spans="1:15" ht="14.25">
      <c r="A93" s="17">
        <v>2013</v>
      </c>
      <c r="B93" s="18" t="s">
        <v>473</v>
      </c>
      <c r="C93" s="18" t="s">
        <v>474</v>
      </c>
      <c r="D93" s="19">
        <v>1008042</v>
      </c>
      <c r="E93" s="19">
        <v>2</v>
      </c>
      <c r="F93" s="19"/>
      <c r="G93" s="19">
        <v>750</v>
      </c>
      <c r="H93" s="19" t="s">
        <v>142</v>
      </c>
      <c r="I93" s="19"/>
      <c r="J93" s="19" t="s">
        <v>143</v>
      </c>
      <c r="K93" s="19" t="b">
        <v>0</v>
      </c>
      <c r="L93" s="15">
        <v>2013</v>
      </c>
      <c r="M93" s="16">
        <v>14280</v>
      </c>
      <c r="N93" s="20">
        <v>41443</v>
      </c>
      <c r="O93" s="20">
        <v>41443</v>
      </c>
    </row>
    <row r="94" spans="1:15" ht="14.25">
      <c r="A94" s="17">
        <v>2013</v>
      </c>
      <c r="B94" s="18" t="s">
        <v>473</v>
      </c>
      <c r="C94" s="18" t="s">
        <v>474</v>
      </c>
      <c r="D94" s="19">
        <v>1008042</v>
      </c>
      <c r="E94" s="19">
        <v>2</v>
      </c>
      <c r="F94" s="19"/>
      <c r="G94" s="19">
        <v>670</v>
      </c>
      <c r="H94" s="19">
        <v>12.1</v>
      </c>
      <c r="I94" s="19"/>
      <c r="J94" s="19" t="s">
        <v>129</v>
      </c>
      <c r="K94" s="19" t="b">
        <v>1</v>
      </c>
      <c r="L94" s="15">
        <v>2014</v>
      </c>
      <c r="M94" s="16">
        <v>241528.18</v>
      </c>
      <c r="N94" s="20">
        <v>41443</v>
      </c>
      <c r="O94" s="20">
        <v>41443</v>
      </c>
    </row>
    <row r="95" spans="1:15" ht="14.25">
      <c r="A95" s="17">
        <v>2013</v>
      </c>
      <c r="B95" s="18" t="s">
        <v>473</v>
      </c>
      <c r="C95" s="18" t="s">
        <v>474</v>
      </c>
      <c r="D95" s="19">
        <v>1008042</v>
      </c>
      <c r="E95" s="19">
        <v>2</v>
      </c>
      <c r="F95" s="19"/>
      <c r="G95" s="19">
        <v>530</v>
      </c>
      <c r="H95" s="19">
        <v>9.8</v>
      </c>
      <c r="I95" s="19" t="s">
        <v>488</v>
      </c>
      <c r="J95" s="19" t="s">
        <v>112</v>
      </c>
      <c r="K95" s="19" t="b">
        <v>0</v>
      </c>
      <c r="L95" s="15">
        <v>2013</v>
      </c>
      <c r="M95" s="16">
        <v>-181</v>
      </c>
      <c r="N95" s="20">
        <v>41443</v>
      </c>
      <c r="O95" s="20">
        <v>41443</v>
      </c>
    </row>
    <row r="96" spans="1:15" ht="14.25">
      <c r="A96" s="17">
        <v>2013</v>
      </c>
      <c r="B96" s="18" t="s">
        <v>473</v>
      </c>
      <c r="C96" s="18" t="s">
        <v>474</v>
      </c>
      <c r="D96" s="19">
        <v>1008042</v>
      </c>
      <c r="E96" s="19">
        <v>2</v>
      </c>
      <c r="F96" s="19"/>
      <c r="G96" s="19">
        <v>420</v>
      </c>
      <c r="H96" s="19">
        <v>8.1</v>
      </c>
      <c r="I96" s="19" t="s">
        <v>486</v>
      </c>
      <c r="J96" s="19" t="s">
        <v>100</v>
      </c>
      <c r="K96" s="19" t="b">
        <v>0</v>
      </c>
      <c r="L96" s="15">
        <v>2018</v>
      </c>
      <c r="M96" s="16">
        <v>2381472.86</v>
      </c>
      <c r="N96" s="20">
        <v>41443</v>
      </c>
      <c r="O96" s="20">
        <v>41443</v>
      </c>
    </row>
    <row r="97" spans="1:15" ht="14.25">
      <c r="A97" s="17">
        <v>2013</v>
      </c>
      <c r="B97" s="18" t="s">
        <v>473</v>
      </c>
      <c r="C97" s="18" t="s">
        <v>474</v>
      </c>
      <c r="D97" s="19">
        <v>1008042</v>
      </c>
      <c r="E97" s="19">
        <v>2</v>
      </c>
      <c r="F97" s="19"/>
      <c r="G97" s="19">
        <v>640</v>
      </c>
      <c r="H97" s="19">
        <v>11.5</v>
      </c>
      <c r="I97" s="19"/>
      <c r="J97" s="19" t="s">
        <v>126</v>
      </c>
      <c r="K97" s="19" t="b">
        <v>1</v>
      </c>
      <c r="L97" s="15">
        <v>2014</v>
      </c>
      <c r="M97" s="16">
        <v>670000</v>
      </c>
      <c r="N97" s="20">
        <v>41443</v>
      </c>
      <c r="O97" s="20">
        <v>41443</v>
      </c>
    </row>
    <row r="98" spans="1:15" ht="14.25">
      <c r="A98" s="17">
        <v>2013</v>
      </c>
      <c r="B98" s="18" t="s">
        <v>473</v>
      </c>
      <c r="C98" s="18" t="s">
        <v>474</v>
      </c>
      <c r="D98" s="19">
        <v>1008042</v>
      </c>
      <c r="E98" s="19">
        <v>2</v>
      </c>
      <c r="F98" s="19"/>
      <c r="G98" s="19">
        <v>470</v>
      </c>
      <c r="H98" s="19">
        <v>9.3</v>
      </c>
      <c r="I98" s="19" t="s">
        <v>480</v>
      </c>
      <c r="J98" s="19" t="s">
        <v>481</v>
      </c>
      <c r="K98" s="19" t="b">
        <v>1</v>
      </c>
      <c r="L98" s="15">
        <v>2014</v>
      </c>
      <c r="M98" s="16">
        <v>0.0498</v>
      </c>
      <c r="N98" s="20">
        <v>41443</v>
      </c>
      <c r="O98" s="20">
        <v>41443</v>
      </c>
    </row>
    <row r="99" spans="1:15" ht="14.25">
      <c r="A99" s="17">
        <v>2013</v>
      </c>
      <c r="B99" s="18" t="s">
        <v>473</v>
      </c>
      <c r="C99" s="18" t="s">
        <v>474</v>
      </c>
      <c r="D99" s="19">
        <v>1008042</v>
      </c>
      <c r="E99" s="19">
        <v>2</v>
      </c>
      <c r="F99" s="19"/>
      <c r="G99" s="19">
        <v>30</v>
      </c>
      <c r="H99" s="19" t="s">
        <v>48</v>
      </c>
      <c r="I99" s="19"/>
      <c r="J99" s="19" t="s">
        <v>49</v>
      </c>
      <c r="K99" s="19" t="b">
        <v>1</v>
      </c>
      <c r="L99" s="15">
        <v>2019</v>
      </c>
      <c r="M99" s="16">
        <v>7272145.66</v>
      </c>
      <c r="N99" s="20">
        <v>41443</v>
      </c>
      <c r="O99" s="20">
        <v>41443</v>
      </c>
    </row>
    <row r="100" spans="1:15" ht="14.25">
      <c r="A100" s="17">
        <v>2013</v>
      </c>
      <c r="B100" s="18" t="s">
        <v>473</v>
      </c>
      <c r="C100" s="18" t="s">
        <v>474</v>
      </c>
      <c r="D100" s="19">
        <v>1008042</v>
      </c>
      <c r="E100" s="19">
        <v>2</v>
      </c>
      <c r="F100" s="19"/>
      <c r="G100" s="19">
        <v>390</v>
      </c>
      <c r="H100" s="19">
        <v>6.3</v>
      </c>
      <c r="I100" s="19" t="s">
        <v>483</v>
      </c>
      <c r="J100" s="19" t="s">
        <v>98</v>
      </c>
      <c r="K100" s="19" t="b">
        <v>0</v>
      </c>
      <c r="L100" s="15">
        <v>2019</v>
      </c>
      <c r="M100" s="16">
        <v>0.01</v>
      </c>
      <c r="N100" s="20">
        <v>41443</v>
      </c>
      <c r="O100" s="20">
        <v>41443</v>
      </c>
    </row>
    <row r="101" spans="1:15" ht="14.25">
      <c r="A101" s="17">
        <v>2013</v>
      </c>
      <c r="B101" s="18" t="s">
        <v>473</v>
      </c>
      <c r="C101" s="18" t="s">
        <v>474</v>
      </c>
      <c r="D101" s="19">
        <v>1008042</v>
      </c>
      <c r="E101" s="19">
        <v>2</v>
      </c>
      <c r="F101" s="19"/>
      <c r="G101" s="19">
        <v>480</v>
      </c>
      <c r="H101" s="19">
        <v>9.4</v>
      </c>
      <c r="I101" s="19" t="s">
        <v>479</v>
      </c>
      <c r="J101" s="19" t="s">
        <v>104</v>
      </c>
      <c r="K101" s="19" t="b">
        <v>0</v>
      </c>
      <c r="L101" s="15">
        <v>2018</v>
      </c>
      <c r="M101" s="16">
        <v>0.0555</v>
      </c>
      <c r="N101" s="20">
        <v>41443</v>
      </c>
      <c r="O101" s="20">
        <v>41443</v>
      </c>
    </row>
    <row r="102" spans="1:15" ht="14.25">
      <c r="A102" s="17">
        <v>2013</v>
      </c>
      <c r="B102" s="18" t="s">
        <v>473</v>
      </c>
      <c r="C102" s="18" t="s">
        <v>474</v>
      </c>
      <c r="D102" s="19">
        <v>1008042</v>
      </c>
      <c r="E102" s="19">
        <v>2</v>
      </c>
      <c r="F102" s="19"/>
      <c r="G102" s="19">
        <v>110</v>
      </c>
      <c r="H102" s="19" t="s">
        <v>63</v>
      </c>
      <c r="I102" s="19"/>
      <c r="J102" s="19" t="s">
        <v>64</v>
      </c>
      <c r="K102" s="19" t="b">
        <v>1</v>
      </c>
      <c r="L102" s="15">
        <v>2013</v>
      </c>
      <c r="M102" s="16">
        <v>213000</v>
      </c>
      <c r="N102" s="20">
        <v>41443</v>
      </c>
      <c r="O102" s="20">
        <v>41443</v>
      </c>
    </row>
    <row r="103" spans="1:15" ht="14.25">
      <c r="A103" s="17">
        <v>2013</v>
      </c>
      <c r="B103" s="18" t="s">
        <v>473</v>
      </c>
      <c r="C103" s="18" t="s">
        <v>474</v>
      </c>
      <c r="D103" s="19">
        <v>1008042</v>
      </c>
      <c r="E103" s="19">
        <v>2</v>
      </c>
      <c r="F103" s="19"/>
      <c r="G103" s="19">
        <v>420</v>
      </c>
      <c r="H103" s="19">
        <v>8.1</v>
      </c>
      <c r="I103" s="19" t="s">
        <v>486</v>
      </c>
      <c r="J103" s="19" t="s">
        <v>100</v>
      </c>
      <c r="K103" s="19" t="b">
        <v>0</v>
      </c>
      <c r="L103" s="15">
        <v>2020</v>
      </c>
      <c r="M103" s="16">
        <v>2633007.97</v>
      </c>
      <c r="N103" s="20">
        <v>41443</v>
      </c>
      <c r="O103" s="20">
        <v>41443</v>
      </c>
    </row>
    <row r="104" spans="1:15" ht="14.25">
      <c r="A104" s="17">
        <v>2013</v>
      </c>
      <c r="B104" s="18" t="s">
        <v>473</v>
      </c>
      <c r="C104" s="18" t="s">
        <v>474</v>
      </c>
      <c r="D104" s="19">
        <v>1008042</v>
      </c>
      <c r="E104" s="19">
        <v>2</v>
      </c>
      <c r="F104" s="19"/>
      <c r="G104" s="19">
        <v>580</v>
      </c>
      <c r="H104" s="19">
        <v>11.1</v>
      </c>
      <c r="I104" s="19"/>
      <c r="J104" s="19" t="s">
        <v>118</v>
      </c>
      <c r="K104" s="19" t="b">
        <v>0</v>
      </c>
      <c r="L104" s="15">
        <v>2017</v>
      </c>
      <c r="M104" s="16">
        <v>10850833.62</v>
      </c>
      <c r="N104" s="20">
        <v>41443</v>
      </c>
      <c r="O104" s="20">
        <v>41443</v>
      </c>
    </row>
    <row r="105" spans="1:15" ht="14.25">
      <c r="A105" s="17">
        <v>2013</v>
      </c>
      <c r="B105" s="18" t="s">
        <v>473</v>
      </c>
      <c r="C105" s="18" t="s">
        <v>474</v>
      </c>
      <c r="D105" s="19">
        <v>1008042</v>
      </c>
      <c r="E105" s="19">
        <v>2</v>
      </c>
      <c r="F105" s="19"/>
      <c r="G105" s="19">
        <v>190</v>
      </c>
      <c r="H105" s="19">
        <v>2.2</v>
      </c>
      <c r="I105" s="19"/>
      <c r="J105" s="19" t="s">
        <v>76</v>
      </c>
      <c r="K105" s="19" t="b">
        <v>0</v>
      </c>
      <c r="L105" s="15">
        <v>2019</v>
      </c>
      <c r="M105" s="16">
        <v>1541115.87</v>
      </c>
      <c r="N105" s="20">
        <v>41443</v>
      </c>
      <c r="O105" s="20">
        <v>41443</v>
      </c>
    </row>
    <row r="106" spans="1:15" ht="14.25">
      <c r="A106" s="17">
        <v>2013</v>
      </c>
      <c r="B106" s="18" t="s">
        <v>473</v>
      </c>
      <c r="C106" s="18" t="s">
        <v>474</v>
      </c>
      <c r="D106" s="19">
        <v>1008042</v>
      </c>
      <c r="E106" s="19">
        <v>2</v>
      </c>
      <c r="F106" s="19"/>
      <c r="G106" s="19">
        <v>470</v>
      </c>
      <c r="H106" s="19">
        <v>9.3</v>
      </c>
      <c r="I106" s="19" t="s">
        <v>480</v>
      </c>
      <c r="J106" s="19" t="s">
        <v>481</v>
      </c>
      <c r="K106" s="19" t="b">
        <v>1</v>
      </c>
      <c r="L106" s="15">
        <v>2018</v>
      </c>
      <c r="M106" s="16">
        <v>0.0555</v>
      </c>
      <c r="N106" s="20">
        <v>41443</v>
      </c>
      <c r="O106" s="20">
        <v>41443</v>
      </c>
    </row>
    <row r="107" spans="1:15" ht="14.25">
      <c r="A107" s="17">
        <v>2013</v>
      </c>
      <c r="B107" s="18" t="s">
        <v>473</v>
      </c>
      <c r="C107" s="18" t="s">
        <v>474</v>
      </c>
      <c r="D107" s="19">
        <v>1008042</v>
      </c>
      <c r="E107" s="19">
        <v>2</v>
      </c>
      <c r="F107" s="19"/>
      <c r="G107" s="19">
        <v>90</v>
      </c>
      <c r="H107" s="19">
        <v>1.2</v>
      </c>
      <c r="I107" s="19"/>
      <c r="J107" s="19" t="s">
        <v>60</v>
      </c>
      <c r="K107" s="19" t="b">
        <v>1</v>
      </c>
      <c r="L107" s="15">
        <v>2016</v>
      </c>
      <c r="M107" s="16">
        <v>20000</v>
      </c>
      <c r="N107" s="20">
        <v>41443</v>
      </c>
      <c r="O107" s="20">
        <v>41443</v>
      </c>
    </row>
    <row r="108" spans="1:15" ht="14.25">
      <c r="A108" s="17">
        <v>2013</v>
      </c>
      <c r="B108" s="18" t="s">
        <v>473</v>
      </c>
      <c r="C108" s="18" t="s">
        <v>474</v>
      </c>
      <c r="D108" s="19">
        <v>1008042</v>
      </c>
      <c r="E108" s="19">
        <v>2</v>
      </c>
      <c r="F108" s="19"/>
      <c r="G108" s="19">
        <v>200</v>
      </c>
      <c r="H108" s="19">
        <v>3</v>
      </c>
      <c r="I108" s="19" t="s">
        <v>489</v>
      </c>
      <c r="J108" s="19" t="s">
        <v>23</v>
      </c>
      <c r="K108" s="19" t="b">
        <v>0</v>
      </c>
      <c r="L108" s="15">
        <v>2013</v>
      </c>
      <c r="M108" s="16">
        <v>-1288821</v>
      </c>
      <c r="N108" s="20">
        <v>41443</v>
      </c>
      <c r="O108" s="20">
        <v>41443</v>
      </c>
    </row>
    <row r="109" spans="1:15" ht="14.25">
      <c r="A109" s="17">
        <v>2013</v>
      </c>
      <c r="B109" s="18" t="s">
        <v>473</v>
      </c>
      <c r="C109" s="18" t="s">
        <v>474</v>
      </c>
      <c r="D109" s="19">
        <v>1008042</v>
      </c>
      <c r="E109" s="19">
        <v>2</v>
      </c>
      <c r="F109" s="19"/>
      <c r="G109" s="19">
        <v>170</v>
      </c>
      <c r="H109" s="19" t="s">
        <v>72</v>
      </c>
      <c r="I109" s="19"/>
      <c r="J109" s="19" t="s">
        <v>73</v>
      </c>
      <c r="K109" s="19" t="b">
        <v>1</v>
      </c>
      <c r="L109" s="15">
        <v>2014</v>
      </c>
      <c r="M109" s="16">
        <v>350000</v>
      </c>
      <c r="N109" s="20">
        <v>41443</v>
      </c>
      <c r="O109" s="20">
        <v>41443</v>
      </c>
    </row>
    <row r="110" spans="1:15" ht="14.25">
      <c r="A110" s="17">
        <v>2013</v>
      </c>
      <c r="B110" s="18" t="s">
        <v>473</v>
      </c>
      <c r="C110" s="18" t="s">
        <v>474</v>
      </c>
      <c r="D110" s="19">
        <v>1008042</v>
      </c>
      <c r="E110" s="19">
        <v>2</v>
      </c>
      <c r="F110" s="19"/>
      <c r="G110" s="19">
        <v>260</v>
      </c>
      <c r="H110" s="19">
        <v>4.3</v>
      </c>
      <c r="I110" s="19"/>
      <c r="J110" s="19" t="s">
        <v>83</v>
      </c>
      <c r="K110" s="19" t="b">
        <v>1</v>
      </c>
      <c r="L110" s="15">
        <v>2013</v>
      </c>
      <c r="M110" s="16">
        <v>1310816</v>
      </c>
      <c r="N110" s="20">
        <v>41443</v>
      </c>
      <c r="O110" s="20">
        <v>41443</v>
      </c>
    </row>
    <row r="111" spans="1:15" ht="14.25">
      <c r="A111" s="17">
        <v>2013</v>
      </c>
      <c r="B111" s="18" t="s">
        <v>473</v>
      </c>
      <c r="C111" s="18" t="s">
        <v>474</v>
      </c>
      <c r="D111" s="19">
        <v>1008042</v>
      </c>
      <c r="E111" s="19">
        <v>2</v>
      </c>
      <c r="F111" s="19"/>
      <c r="G111" s="19">
        <v>390</v>
      </c>
      <c r="H111" s="19">
        <v>6.3</v>
      </c>
      <c r="I111" s="19" t="s">
        <v>483</v>
      </c>
      <c r="J111" s="19" t="s">
        <v>98</v>
      </c>
      <c r="K111" s="19" t="b">
        <v>0</v>
      </c>
      <c r="L111" s="15">
        <v>2014</v>
      </c>
      <c r="M111" s="16">
        <v>0.2574</v>
      </c>
      <c r="N111" s="20">
        <v>41443</v>
      </c>
      <c r="O111" s="20">
        <v>41443</v>
      </c>
    </row>
    <row r="112" spans="1:15" ht="14.25">
      <c r="A112" s="17">
        <v>2013</v>
      </c>
      <c r="B112" s="18" t="s">
        <v>473</v>
      </c>
      <c r="C112" s="18" t="s">
        <v>474</v>
      </c>
      <c r="D112" s="19">
        <v>1008042</v>
      </c>
      <c r="E112" s="19">
        <v>2</v>
      </c>
      <c r="F112" s="19"/>
      <c r="G112" s="19">
        <v>20</v>
      </c>
      <c r="H112" s="19">
        <v>1.1</v>
      </c>
      <c r="I112" s="19"/>
      <c r="J112" s="19" t="s">
        <v>47</v>
      </c>
      <c r="K112" s="19" t="b">
        <v>1</v>
      </c>
      <c r="L112" s="15">
        <v>2013</v>
      </c>
      <c r="M112" s="16">
        <v>20746624.6</v>
      </c>
      <c r="N112" s="20">
        <v>41443</v>
      </c>
      <c r="O112" s="20">
        <v>41443</v>
      </c>
    </row>
    <row r="113" spans="1:15" ht="14.25">
      <c r="A113" s="17">
        <v>2013</v>
      </c>
      <c r="B113" s="18" t="s">
        <v>473</v>
      </c>
      <c r="C113" s="18" t="s">
        <v>474</v>
      </c>
      <c r="D113" s="19">
        <v>1008042</v>
      </c>
      <c r="E113" s="19">
        <v>2</v>
      </c>
      <c r="F113" s="19"/>
      <c r="G113" s="19">
        <v>200</v>
      </c>
      <c r="H113" s="19">
        <v>3</v>
      </c>
      <c r="I113" s="19" t="s">
        <v>489</v>
      </c>
      <c r="J113" s="19" t="s">
        <v>23</v>
      </c>
      <c r="K113" s="19" t="b">
        <v>0</v>
      </c>
      <c r="L113" s="15">
        <v>2014</v>
      </c>
      <c r="M113" s="16">
        <v>207298.3</v>
      </c>
      <c r="N113" s="20">
        <v>41443</v>
      </c>
      <c r="O113" s="20">
        <v>41443</v>
      </c>
    </row>
    <row r="114" spans="1:15" ht="14.25">
      <c r="A114" s="17">
        <v>2013</v>
      </c>
      <c r="B114" s="18" t="s">
        <v>473</v>
      </c>
      <c r="C114" s="18" t="s">
        <v>474</v>
      </c>
      <c r="D114" s="19">
        <v>1008042</v>
      </c>
      <c r="E114" s="19">
        <v>2</v>
      </c>
      <c r="F114" s="19"/>
      <c r="G114" s="19">
        <v>430</v>
      </c>
      <c r="H114" s="19">
        <v>8.2</v>
      </c>
      <c r="I114" s="19" t="s">
        <v>490</v>
      </c>
      <c r="J114" s="19" t="s">
        <v>101</v>
      </c>
      <c r="K114" s="19" t="b">
        <v>0</v>
      </c>
      <c r="L114" s="15">
        <v>2018</v>
      </c>
      <c r="M114" s="16">
        <v>2381472.86</v>
      </c>
      <c r="N114" s="20">
        <v>41443</v>
      </c>
      <c r="O114" s="20">
        <v>41443</v>
      </c>
    </row>
    <row r="115" spans="1:15" ht="14.25">
      <c r="A115" s="17">
        <v>2013</v>
      </c>
      <c r="B115" s="18" t="s">
        <v>473</v>
      </c>
      <c r="C115" s="18" t="s">
        <v>474</v>
      </c>
      <c r="D115" s="19">
        <v>1008042</v>
      </c>
      <c r="E115" s="19">
        <v>2</v>
      </c>
      <c r="F115" s="19"/>
      <c r="G115" s="19">
        <v>190</v>
      </c>
      <c r="H115" s="19">
        <v>2.2</v>
      </c>
      <c r="I115" s="19"/>
      <c r="J115" s="19" t="s">
        <v>76</v>
      </c>
      <c r="K115" s="19" t="b">
        <v>0</v>
      </c>
      <c r="L115" s="15">
        <v>2013</v>
      </c>
      <c r="M115" s="16">
        <v>2504000</v>
      </c>
      <c r="N115" s="20">
        <v>41443</v>
      </c>
      <c r="O115" s="20">
        <v>41443</v>
      </c>
    </row>
    <row r="116" spans="1:15" ht="14.25">
      <c r="A116" s="17">
        <v>2013</v>
      </c>
      <c r="B116" s="18" t="s">
        <v>473</v>
      </c>
      <c r="C116" s="18" t="s">
        <v>474</v>
      </c>
      <c r="D116" s="19">
        <v>1008042</v>
      </c>
      <c r="E116" s="19">
        <v>2</v>
      </c>
      <c r="F116" s="19"/>
      <c r="G116" s="19">
        <v>190</v>
      </c>
      <c r="H116" s="19">
        <v>2.2</v>
      </c>
      <c r="I116" s="19"/>
      <c r="J116" s="19" t="s">
        <v>76</v>
      </c>
      <c r="K116" s="19" t="b">
        <v>0</v>
      </c>
      <c r="L116" s="15">
        <v>2018</v>
      </c>
      <c r="M116" s="16">
        <v>1257551.86</v>
      </c>
      <c r="N116" s="20">
        <v>41443</v>
      </c>
      <c r="O116" s="20">
        <v>41443</v>
      </c>
    </row>
    <row r="117" spans="1:15" ht="14.25">
      <c r="A117" s="17">
        <v>2013</v>
      </c>
      <c r="B117" s="18" t="s">
        <v>473</v>
      </c>
      <c r="C117" s="18" t="s">
        <v>474</v>
      </c>
      <c r="D117" s="19">
        <v>1008042</v>
      </c>
      <c r="E117" s="19">
        <v>2</v>
      </c>
      <c r="F117" s="19"/>
      <c r="G117" s="19">
        <v>540</v>
      </c>
      <c r="H117" s="19" t="s">
        <v>113</v>
      </c>
      <c r="I117" s="19" t="s">
        <v>491</v>
      </c>
      <c r="J117" s="19" t="s">
        <v>114</v>
      </c>
      <c r="K117" s="19" t="b">
        <v>0</v>
      </c>
      <c r="L117" s="15">
        <v>2014</v>
      </c>
      <c r="M117" s="16">
        <v>280</v>
      </c>
      <c r="N117" s="20">
        <v>41443</v>
      </c>
      <c r="O117" s="20">
        <v>41443</v>
      </c>
    </row>
    <row r="118" spans="1:15" ht="14.25">
      <c r="A118" s="17">
        <v>2013</v>
      </c>
      <c r="B118" s="18" t="s">
        <v>473</v>
      </c>
      <c r="C118" s="18" t="s">
        <v>474</v>
      </c>
      <c r="D118" s="19">
        <v>1008042</v>
      </c>
      <c r="E118" s="19">
        <v>2</v>
      </c>
      <c r="F118" s="19"/>
      <c r="G118" s="19">
        <v>40</v>
      </c>
      <c r="H118" s="19" t="s">
        <v>50</v>
      </c>
      <c r="I118" s="19"/>
      <c r="J118" s="19" t="s">
        <v>51</v>
      </c>
      <c r="K118" s="19" t="b">
        <v>1</v>
      </c>
      <c r="L118" s="15">
        <v>2019</v>
      </c>
      <c r="M118" s="16">
        <v>68859.04</v>
      </c>
      <c r="N118" s="20">
        <v>41443</v>
      </c>
      <c r="O118" s="20">
        <v>41443</v>
      </c>
    </row>
    <row r="119" spans="1:15" ht="14.25">
      <c r="A119" s="17">
        <v>2013</v>
      </c>
      <c r="B119" s="18" t="s">
        <v>473</v>
      </c>
      <c r="C119" s="18" t="s">
        <v>474</v>
      </c>
      <c r="D119" s="19">
        <v>1008042</v>
      </c>
      <c r="E119" s="19">
        <v>2</v>
      </c>
      <c r="F119" s="19"/>
      <c r="G119" s="19">
        <v>430</v>
      </c>
      <c r="H119" s="19">
        <v>8.2</v>
      </c>
      <c r="I119" s="19" t="s">
        <v>490</v>
      </c>
      <c r="J119" s="19" t="s">
        <v>101</v>
      </c>
      <c r="K119" s="19" t="b">
        <v>0</v>
      </c>
      <c r="L119" s="15">
        <v>2019</v>
      </c>
      <c r="M119" s="16">
        <v>2541115.87</v>
      </c>
      <c r="N119" s="20">
        <v>41443</v>
      </c>
      <c r="O119" s="20">
        <v>41443</v>
      </c>
    </row>
    <row r="120" spans="1:15" ht="14.25">
      <c r="A120" s="17">
        <v>2013</v>
      </c>
      <c r="B120" s="18" t="s">
        <v>473</v>
      </c>
      <c r="C120" s="18" t="s">
        <v>474</v>
      </c>
      <c r="D120" s="19">
        <v>1008042</v>
      </c>
      <c r="E120" s="19">
        <v>2</v>
      </c>
      <c r="F120" s="19"/>
      <c r="G120" s="19">
        <v>430</v>
      </c>
      <c r="H120" s="19">
        <v>8.2</v>
      </c>
      <c r="I120" s="19" t="s">
        <v>490</v>
      </c>
      <c r="J120" s="19" t="s">
        <v>101</v>
      </c>
      <c r="K120" s="19" t="b">
        <v>0</v>
      </c>
      <c r="L120" s="15">
        <v>2016</v>
      </c>
      <c r="M120" s="16">
        <v>2168724.11</v>
      </c>
      <c r="N120" s="20">
        <v>41443</v>
      </c>
      <c r="O120" s="20">
        <v>41443</v>
      </c>
    </row>
    <row r="121" spans="1:15" ht="14.25">
      <c r="A121" s="17">
        <v>2013</v>
      </c>
      <c r="B121" s="18" t="s">
        <v>473</v>
      </c>
      <c r="C121" s="18" t="s">
        <v>474</v>
      </c>
      <c r="D121" s="19">
        <v>1008042</v>
      </c>
      <c r="E121" s="19">
        <v>2</v>
      </c>
      <c r="F121" s="19"/>
      <c r="G121" s="19">
        <v>560</v>
      </c>
      <c r="H121" s="19">
        <v>10.1</v>
      </c>
      <c r="I121" s="19"/>
      <c r="J121" s="19" t="s">
        <v>116</v>
      </c>
      <c r="K121" s="19" t="b">
        <v>0</v>
      </c>
      <c r="L121" s="15">
        <v>2018</v>
      </c>
      <c r="M121" s="16">
        <v>1123921</v>
      </c>
      <c r="N121" s="20">
        <v>41443</v>
      </c>
      <c r="O121" s="20">
        <v>41443</v>
      </c>
    </row>
    <row r="122" spans="1:15" ht="14.25">
      <c r="A122" s="17">
        <v>2013</v>
      </c>
      <c r="B122" s="18" t="s">
        <v>473</v>
      </c>
      <c r="C122" s="18" t="s">
        <v>474</v>
      </c>
      <c r="D122" s="19">
        <v>1008042</v>
      </c>
      <c r="E122" s="19">
        <v>2</v>
      </c>
      <c r="F122" s="19"/>
      <c r="G122" s="19">
        <v>680</v>
      </c>
      <c r="H122" s="19" t="s">
        <v>130</v>
      </c>
      <c r="I122" s="19"/>
      <c r="J122" s="19" t="s">
        <v>131</v>
      </c>
      <c r="K122" s="19" t="b">
        <v>1</v>
      </c>
      <c r="L122" s="15">
        <v>2013</v>
      </c>
      <c r="M122" s="16">
        <v>338741.01</v>
      </c>
      <c r="N122" s="20">
        <v>41443</v>
      </c>
      <c r="O122" s="20">
        <v>41443</v>
      </c>
    </row>
    <row r="123" spans="1:15" ht="14.25">
      <c r="A123" s="17">
        <v>2013</v>
      </c>
      <c r="B123" s="18" t="s">
        <v>473</v>
      </c>
      <c r="C123" s="18" t="s">
        <v>474</v>
      </c>
      <c r="D123" s="19">
        <v>1008042</v>
      </c>
      <c r="E123" s="19">
        <v>2</v>
      </c>
      <c r="F123" s="19"/>
      <c r="G123" s="19">
        <v>10</v>
      </c>
      <c r="H123" s="19">
        <v>1</v>
      </c>
      <c r="I123" s="19" t="s">
        <v>492</v>
      </c>
      <c r="J123" s="19" t="s">
        <v>26</v>
      </c>
      <c r="K123" s="19" t="b">
        <v>1</v>
      </c>
      <c r="L123" s="15">
        <v>2015</v>
      </c>
      <c r="M123" s="16">
        <v>21600990.4</v>
      </c>
      <c r="N123" s="20">
        <v>41443</v>
      </c>
      <c r="O123" s="20">
        <v>41443</v>
      </c>
    </row>
    <row r="124" spans="1:15" ht="14.25">
      <c r="A124" s="17">
        <v>2013</v>
      </c>
      <c r="B124" s="18" t="s">
        <v>473</v>
      </c>
      <c r="C124" s="18" t="s">
        <v>474</v>
      </c>
      <c r="D124" s="19">
        <v>1008042</v>
      </c>
      <c r="E124" s="19">
        <v>2</v>
      </c>
      <c r="F124" s="19"/>
      <c r="G124" s="19">
        <v>590</v>
      </c>
      <c r="H124" s="19">
        <v>11.2</v>
      </c>
      <c r="I124" s="19"/>
      <c r="J124" s="19" t="s">
        <v>119</v>
      </c>
      <c r="K124" s="19" t="b">
        <v>1</v>
      </c>
      <c r="L124" s="15">
        <v>2017</v>
      </c>
      <c r="M124" s="16">
        <v>2750903.97</v>
      </c>
      <c r="N124" s="20">
        <v>41443</v>
      </c>
      <c r="O124" s="20">
        <v>41443</v>
      </c>
    </row>
    <row r="125" spans="1:15" ht="14.25">
      <c r="A125" s="17">
        <v>2013</v>
      </c>
      <c r="B125" s="18" t="s">
        <v>473</v>
      </c>
      <c r="C125" s="18" t="s">
        <v>474</v>
      </c>
      <c r="D125" s="19">
        <v>1008042</v>
      </c>
      <c r="E125" s="19">
        <v>2</v>
      </c>
      <c r="F125" s="19"/>
      <c r="G125" s="19">
        <v>30</v>
      </c>
      <c r="H125" s="19" t="s">
        <v>48</v>
      </c>
      <c r="I125" s="19"/>
      <c r="J125" s="19" t="s">
        <v>49</v>
      </c>
      <c r="K125" s="19" t="b">
        <v>1</v>
      </c>
      <c r="L125" s="15">
        <v>2014</v>
      </c>
      <c r="M125" s="16">
        <v>6035035.66</v>
      </c>
      <c r="N125" s="20">
        <v>41443</v>
      </c>
      <c r="O125" s="20">
        <v>41443</v>
      </c>
    </row>
    <row r="126" spans="1:15" ht="14.25">
      <c r="A126" s="17">
        <v>2013</v>
      </c>
      <c r="B126" s="18" t="s">
        <v>473</v>
      </c>
      <c r="C126" s="18" t="s">
        <v>474</v>
      </c>
      <c r="D126" s="19">
        <v>1008042</v>
      </c>
      <c r="E126" s="19">
        <v>2</v>
      </c>
      <c r="F126" s="19"/>
      <c r="G126" s="19">
        <v>610</v>
      </c>
      <c r="H126" s="19" t="s">
        <v>121</v>
      </c>
      <c r="I126" s="19"/>
      <c r="J126" s="19" t="s">
        <v>122</v>
      </c>
      <c r="K126" s="19" t="b">
        <v>1</v>
      </c>
      <c r="L126" s="15">
        <v>2013</v>
      </c>
      <c r="M126" s="16">
        <v>234789.15</v>
      </c>
      <c r="N126" s="20">
        <v>41443</v>
      </c>
      <c r="O126" s="20">
        <v>41443</v>
      </c>
    </row>
    <row r="127" spans="1:15" ht="14.25">
      <c r="A127" s="17">
        <v>2013</v>
      </c>
      <c r="B127" s="18" t="s">
        <v>473</v>
      </c>
      <c r="C127" s="18" t="s">
        <v>474</v>
      </c>
      <c r="D127" s="19">
        <v>1008042</v>
      </c>
      <c r="E127" s="19">
        <v>2</v>
      </c>
      <c r="F127" s="19"/>
      <c r="G127" s="19">
        <v>620</v>
      </c>
      <c r="H127" s="19" t="s">
        <v>123</v>
      </c>
      <c r="I127" s="19"/>
      <c r="J127" s="19" t="s">
        <v>124</v>
      </c>
      <c r="K127" s="19" t="b">
        <v>1</v>
      </c>
      <c r="L127" s="15">
        <v>2014</v>
      </c>
      <c r="M127" s="16">
        <v>690000</v>
      </c>
      <c r="N127" s="20">
        <v>41443</v>
      </c>
      <c r="O127" s="20">
        <v>41443</v>
      </c>
    </row>
    <row r="128" spans="1:15" ht="14.25">
      <c r="A128" s="17">
        <v>2013</v>
      </c>
      <c r="B128" s="18" t="s">
        <v>473</v>
      </c>
      <c r="C128" s="18" t="s">
        <v>474</v>
      </c>
      <c r="D128" s="19">
        <v>1008042</v>
      </c>
      <c r="E128" s="19">
        <v>2</v>
      </c>
      <c r="F128" s="19"/>
      <c r="G128" s="19">
        <v>880</v>
      </c>
      <c r="H128" s="19">
        <v>14.1</v>
      </c>
      <c r="I128" s="19"/>
      <c r="J128" s="19" t="s">
        <v>158</v>
      </c>
      <c r="K128" s="19" t="b">
        <v>1</v>
      </c>
      <c r="L128" s="15">
        <v>2019</v>
      </c>
      <c r="M128" s="16">
        <v>100000</v>
      </c>
      <c r="N128" s="20">
        <v>41443</v>
      </c>
      <c r="O128" s="20">
        <v>41443</v>
      </c>
    </row>
    <row r="129" spans="1:15" ht="14.25">
      <c r="A129" s="17">
        <v>2013</v>
      </c>
      <c r="B129" s="18" t="s">
        <v>473</v>
      </c>
      <c r="C129" s="18" t="s">
        <v>474</v>
      </c>
      <c r="D129" s="19">
        <v>1008042</v>
      </c>
      <c r="E129" s="19">
        <v>2</v>
      </c>
      <c r="F129" s="19"/>
      <c r="G129" s="19">
        <v>880</v>
      </c>
      <c r="H129" s="19">
        <v>14.1</v>
      </c>
      <c r="I129" s="19"/>
      <c r="J129" s="19" t="s">
        <v>158</v>
      </c>
      <c r="K129" s="19" t="b">
        <v>1</v>
      </c>
      <c r="L129" s="15">
        <v>2017</v>
      </c>
      <c r="M129" s="16">
        <v>900000</v>
      </c>
      <c r="N129" s="20">
        <v>41443</v>
      </c>
      <c r="O129" s="20">
        <v>41443</v>
      </c>
    </row>
    <row r="130" spans="1:15" ht="14.25">
      <c r="A130" s="17">
        <v>2013</v>
      </c>
      <c r="B130" s="18" t="s">
        <v>473</v>
      </c>
      <c r="C130" s="18" t="s">
        <v>474</v>
      </c>
      <c r="D130" s="19">
        <v>1008042</v>
      </c>
      <c r="E130" s="19">
        <v>2</v>
      </c>
      <c r="F130" s="19"/>
      <c r="G130" s="19">
        <v>50</v>
      </c>
      <c r="H130" s="19" t="s">
        <v>52</v>
      </c>
      <c r="I130" s="19"/>
      <c r="J130" s="19" t="s">
        <v>53</v>
      </c>
      <c r="K130" s="19" t="b">
        <v>1</v>
      </c>
      <c r="L130" s="15">
        <v>2016</v>
      </c>
      <c r="M130" s="16">
        <v>4981641.69</v>
      </c>
      <c r="N130" s="20">
        <v>41443</v>
      </c>
      <c r="O130" s="20">
        <v>41443</v>
      </c>
    </row>
    <row r="131" spans="1:15" ht="14.25">
      <c r="A131" s="17">
        <v>2013</v>
      </c>
      <c r="B131" s="18" t="s">
        <v>473</v>
      </c>
      <c r="C131" s="18" t="s">
        <v>474</v>
      </c>
      <c r="D131" s="19">
        <v>1008042</v>
      </c>
      <c r="E131" s="19">
        <v>2</v>
      </c>
      <c r="F131" s="19"/>
      <c r="G131" s="19">
        <v>300</v>
      </c>
      <c r="H131" s="19">
        <v>5</v>
      </c>
      <c r="I131" s="19" t="s">
        <v>484</v>
      </c>
      <c r="J131" s="19" t="s">
        <v>87</v>
      </c>
      <c r="K131" s="19" t="b">
        <v>0</v>
      </c>
      <c r="L131" s="15">
        <v>2013</v>
      </c>
      <c r="M131" s="16">
        <v>1133995</v>
      </c>
      <c r="N131" s="20">
        <v>41443</v>
      </c>
      <c r="O131" s="20">
        <v>41443</v>
      </c>
    </row>
    <row r="132" spans="1:15" ht="14.25">
      <c r="A132" s="17">
        <v>2013</v>
      </c>
      <c r="B132" s="18" t="s">
        <v>473</v>
      </c>
      <c r="C132" s="18" t="s">
        <v>474</v>
      </c>
      <c r="D132" s="19">
        <v>1008042</v>
      </c>
      <c r="E132" s="19">
        <v>2</v>
      </c>
      <c r="F132" s="19"/>
      <c r="G132" s="19">
        <v>130</v>
      </c>
      <c r="H132" s="19">
        <v>2.1</v>
      </c>
      <c r="I132" s="19"/>
      <c r="J132" s="19" t="s">
        <v>65</v>
      </c>
      <c r="K132" s="19" t="b">
        <v>1</v>
      </c>
      <c r="L132" s="15">
        <v>2015</v>
      </c>
      <c r="M132" s="16">
        <v>19495475.14</v>
      </c>
      <c r="N132" s="20">
        <v>41443</v>
      </c>
      <c r="O132" s="20">
        <v>41443</v>
      </c>
    </row>
    <row r="133" spans="1:15" ht="14.25">
      <c r="A133" s="17">
        <v>2013</v>
      </c>
      <c r="B133" s="18" t="s">
        <v>473</v>
      </c>
      <c r="C133" s="18" t="s">
        <v>474</v>
      </c>
      <c r="D133" s="19">
        <v>1008042</v>
      </c>
      <c r="E133" s="19">
        <v>2</v>
      </c>
      <c r="F133" s="19"/>
      <c r="G133" s="19">
        <v>560</v>
      </c>
      <c r="H133" s="19">
        <v>10.1</v>
      </c>
      <c r="I133" s="19"/>
      <c r="J133" s="19" t="s">
        <v>116</v>
      </c>
      <c r="K133" s="19" t="b">
        <v>0</v>
      </c>
      <c r="L133" s="15">
        <v>2019</v>
      </c>
      <c r="M133" s="16">
        <v>1000000</v>
      </c>
      <c r="N133" s="20">
        <v>41443</v>
      </c>
      <c r="O133" s="20">
        <v>41443</v>
      </c>
    </row>
    <row r="134" spans="1:15" ht="14.25">
      <c r="A134" s="17">
        <v>2013</v>
      </c>
      <c r="B134" s="18" t="s">
        <v>473</v>
      </c>
      <c r="C134" s="18" t="s">
        <v>474</v>
      </c>
      <c r="D134" s="19">
        <v>1008042</v>
      </c>
      <c r="E134" s="19">
        <v>2</v>
      </c>
      <c r="F134" s="19"/>
      <c r="G134" s="19">
        <v>590</v>
      </c>
      <c r="H134" s="19">
        <v>11.2</v>
      </c>
      <c r="I134" s="19"/>
      <c r="J134" s="19" t="s">
        <v>119</v>
      </c>
      <c r="K134" s="19" t="b">
        <v>1</v>
      </c>
      <c r="L134" s="15">
        <v>2018</v>
      </c>
      <c r="M134" s="16">
        <v>2860940.12</v>
      </c>
      <c r="N134" s="20">
        <v>41443</v>
      </c>
      <c r="O134" s="20">
        <v>41443</v>
      </c>
    </row>
    <row r="135" spans="1:15" ht="14.25">
      <c r="A135" s="17">
        <v>2013</v>
      </c>
      <c r="B135" s="18" t="s">
        <v>473</v>
      </c>
      <c r="C135" s="18" t="s">
        <v>474</v>
      </c>
      <c r="D135" s="19">
        <v>1008042</v>
      </c>
      <c r="E135" s="19">
        <v>2</v>
      </c>
      <c r="F135" s="19"/>
      <c r="G135" s="19">
        <v>480</v>
      </c>
      <c r="H135" s="19">
        <v>9.4</v>
      </c>
      <c r="I135" s="19" t="s">
        <v>479</v>
      </c>
      <c r="J135" s="19" t="s">
        <v>104</v>
      </c>
      <c r="K135" s="19" t="b">
        <v>0</v>
      </c>
      <c r="L135" s="15">
        <v>2016</v>
      </c>
      <c r="M135" s="16">
        <v>0.0593</v>
      </c>
      <c r="N135" s="20">
        <v>41443</v>
      </c>
      <c r="O135" s="20">
        <v>41443</v>
      </c>
    </row>
    <row r="136" spans="1:15" ht="14.25">
      <c r="A136" s="17">
        <v>2013</v>
      </c>
      <c r="B136" s="18" t="s">
        <v>473</v>
      </c>
      <c r="C136" s="18" t="s">
        <v>474</v>
      </c>
      <c r="D136" s="19">
        <v>1008042</v>
      </c>
      <c r="E136" s="19">
        <v>2</v>
      </c>
      <c r="F136" s="19"/>
      <c r="G136" s="19">
        <v>470</v>
      </c>
      <c r="H136" s="19">
        <v>9.3</v>
      </c>
      <c r="I136" s="19" t="s">
        <v>480</v>
      </c>
      <c r="J136" s="19" t="s">
        <v>481</v>
      </c>
      <c r="K136" s="19" t="b">
        <v>1</v>
      </c>
      <c r="L136" s="15">
        <v>2015</v>
      </c>
      <c r="M136" s="16">
        <v>0.0517</v>
      </c>
      <c r="N136" s="20">
        <v>41443</v>
      </c>
      <c r="O136" s="20">
        <v>41443</v>
      </c>
    </row>
    <row r="137" spans="1:15" ht="14.25">
      <c r="A137" s="17">
        <v>2013</v>
      </c>
      <c r="B137" s="18" t="s">
        <v>473</v>
      </c>
      <c r="C137" s="18" t="s">
        <v>474</v>
      </c>
      <c r="D137" s="19">
        <v>1008042</v>
      </c>
      <c r="E137" s="19">
        <v>2</v>
      </c>
      <c r="F137" s="19"/>
      <c r="G137" s="19">
        <v>610</v>
      </c>
      <c r="H137" s="19" t="s">
        <v>121</v>
      </c>
      <c r="I137" s="19"/>
      <c r="J137" s="19" t="s">
        <v>122</v>
      </c>
      <c r="K137" s="19" t="b">
        <v>1</v>
      </c>
      <c r="L137" s="15">
        <v>2015</v>
      </c>
      <c r="M137" s="16">
        <v>174221.8</v>
      </c>
      <c r="N137" s="20">
        <v>41443</v>
      </c>
      <c r="O137" s="20">
        <v>41443</v>
      </c>
    </row>
    <row r="138" spans="1:15" ht="14.25">
      <c r="A138" s="17">
        <v>2013</v>
      </c>
      <c r="B138" s="18" t="s">
        <v>473</v>
      </c>
      <c r="C138" s="18" t="s">
        <v>474</v>
      </c>
      <c r="D138" s="19">
        <v>1008042</v>
      </c>
      <c r="E138" s="19">
        <v>2</v>
      </c>
      <c r="F138" s="19"/>
      <c r="G138" s="19">
        <v>310</v>
      </c>
      <c r="H138" s="19">
        <v>5.1</v>
      </c>
      <c r="I138" s="19"/>
      <c r="J138" s="19" t="s">
        <v>88</v>
      </c>
      <c r="K138" s="19" t="b">
        <v>1</v>
      </c>
      <c r="L138" s="15">
        <v>2015</v>
      </c>
      <c r="M138" s="16">
        <v>826000</v>
      </c>
      <c r="N138" s="20">
        <v>41443</v>
      </c>
      <c r="O138" s="20">
        <v>41443</v>
      </c>
    </row>
    <row r="139" spans="1:15" ht="14.25">
      <c r="A139" s="17">
        <v>2013</v>
      </c>
      <c r="B139" s="18" t="s">
        <v>473</v>
      </c>
      <c r="C139" s="18" t="s">
        <v>474</v>
      </c>
      <c r="D139" s="19">
        <v>1008042</v>
      </c>
      <c r="E139" s="19">
        <v>2</v>
      </c>
      <c r="F139" s="19"/>
      <c r="G139" s="19">
        <v>500</v>
      </c>
      <c r="H139" s="19">
        <v>9.6</v>
      </c>
      <c r="I139" s="19" t="s">
        <v>485</v>
      </c>
      <c r="J139" s="19" t="s">
        <v>106</v>
      </c>
      <c r="K139" s="19" t="b">
        <v>0</v>
      </c>
      <c r="L139" s="15">
        <v>2014</v>
      </c>
      <c r="M139" s="16">
        <v>0.0498</v>
      </c>
      <c r="N139" s="20">
        <v>41443</v>
      </c>
      <c r="O139" s="20">
        <v>41443</v>
      </c>
    </row>
    <row r="140" spans="1:15" ht="14.25">
      <c r="A140" s="17">
        <v>2013</v>
      </c>
      <c r="B140" s="18" t="s">
        <v>473</v>
      </c>
      <c r="C140" s="18" t="s">
        <v>474</v>
      </c>
      <c r="D140" s="19">
        <v>1008042</v>
      </c>
      <c r="E140" s="19">
        <v>2</v>
      </c>
      <c r="F140" s="19"/>
      <c r="G140" s="19">
        <v>880</v>
      </c>
      <c r="H140" s="19">
        <v>14.1</v>
      </c>
      <c r="I140" s="19"/>
      <c r="J140" s="19" t="s">
        <v>158</v>
      </c>
      <c r="K140" s="19" t="b">
        <v>1</v>
      </c>
      <c r="L140" s="15">
        <v>2015</v>
      </c>
      <c r="M140" s="16">
        <v>814000</v>
      </c>
      <c r="N140" s="20">
        <v>41443</v>
      </c>
      <c r="O140" s="20">
        <v>41443</v>
      </c>
    </row>
    <row r="141" spans="1:15" ht="14.25">
      <c r="A141" s="17">
        <v>2013</v>
      </c>
      <c r="B141" s="18" t="s">
        <v>473</v>
      </c>
      <c r="C141" s="18" t="s">
        <v>474</v>
      </c>
      <c r="D141" s="19">
        <v>1008042</v>
      </c>
      <c r="E141" s="19">
        <v>2</v>
      </c>
      <c r="F141" s="19"/>
      <c r="G141" s="19">
        <v>10</v>
      </c>
      <c r="H141" s="19">
        <v>1</v>
      </c>
      <c r="I141" s="19" t="s">
        <v>492</v>
      </c>
      <c r="J141" s="19" t="s">
        <v>26</v>
      </c>
      <c r="K141" s="19" t="b">
        <v>1</v>
      </c>
      <c r="L141" s="15">
        <v>2017</v>
      </c>
      <c r="M141" s="16">
        <v>23114445.51</v>
      </c>
      <c r="N141" s="20">
        <v>41443</v>
      </c>
      <c r="O141" s="20">
        <v>41443</v>
      </c>
    </row>
    <row r="142" spans="1:15" ht="14.25">
      <c r="A142" s="17">
        <v>2013</v>
      </c>
      <c r="B142" s="18" t="s">
        <v>473</v>
      </c>
      <c r="C142" s="18" t="s">
        <v>474</v>
      </c>
      <c r="D142" s="19">
        <v>1008042</v>
      </c>
      <c r="E142" s="19">
        <v>2</v>
      </c>
      <c r="F142" s="19"/>
      <c r="G142" s="19">
        <v>505</v>
      </c>
      <c r="H142" s="19" t="s">
        <v>107</v>
      </c>
      <c r="I142" s="19" t="s">
        <v>478</v>
      </c>
      <c r="J142" s="19" t="s">
        <v>108</v>
      </c>
      <c r="K142" s="19" t="b">
        <v>0</v>
      </c>
      <c r="L142" s="15">
        <v>2014</v>
      </c>
      <c r="M142" s="16">
        <v>0.0733</v>
      </c>
      <c r="N142" s="20">
        <v>41443</v>
      </c>
      <c r="O142" s="20">
        <v>41443</v>
      </c>
    </row>
    <row r="143" spans="1:15" ht="14.25">
      <c r="A143" s="17">
        <v>2013</v>
      </c>
      <c r="B143" s="18" t="s">
        <v>473</v>
      </c>
      <c r="C143" s="18" t="s">
        <v>474</v>
      </c>
      <c r="D143" s="19">
        <v>1008042</v>
      </c>
      <c r="E143" s="19">
        <v>2</v>
      </c>
      <c r="F143" s="19"/>
      <c r="G143" s="19">
        <v>530</v>
      </c>
      <c r="H143" s="19">
        <v>9.8</v>
      </c>
      <c r="I143" s="19" t="s">
        <v>488</v>
      </c>
      <c r="J143" s="19" t="s">
        <v>112</v>
      </c>
      <c r="K143" s="19" t="b">
        <v>0</v>
      </c>
      <c r="L143" s="15">
        <v>2020</v>
      </c>
      <c r="M143" s="16">
        <v>855</v>
      </c>
      <c r="N143" s="20">
        <v>41443</v>
      </c>
      <c r="O143" s="20">
        <v>41443</v>
      </c>
    </row>
    <row r="144" spans="1:15" ht="14.25">
      <c r="A144" s="17">
        <v>2013</v>
      </c>
      <c r="B144" s="18" t="s">
        <v>473</v>
      </c>
      <c r="C144" s="18" t="s">
        <v>474</v>
      </c>
      <c r="D144" s="19">
        <v>1008042</v>
      </c>
      <c r="E144" s="19">
        <v>2</v>
      </c>
      <c r="F144" s="19"/>
      <c r="G144" s="19">
        <v>380</v>
      </c>
      <c r="H144" s="19">
        <v>6.2</v>
      </c>
      <c r="I144" s="19" t="s">
        <v>477</v>
      </c>
      <c r="J144" s="19" t="s">
        <v>97</v>
      </c>
      <c r="K144" s="19" t="b">
        <v>0</v>
      </c>
      <c r="L144" s="15">
        <v>2017</v>
      </c>
      <c r="M144" s="16">
        <v>0.1027</v>
      </c>
      <c r="N144" s="20">
        <v>41443</v>
      </c>
      <c r="O144" s="20">
        <v>41443</v>
      </c>
    </row>
    <row r="145" spans="1:15" ht="14.25">
      <c r="A145" s="17">
        <v>2013</v>
      </c>
      <c r="B145" s="18" t="s">
        <v>473</v>
      </c>
      <c r="C145" s="18" t="s">
        <v>474</v>
      </c>
      <c r="D145" s="19">
        <v>1008042</v>
      </c>
      <c r="E145" s="19">
        <v>2</v>
      </c>
      <c r="F145" s="19"/>
      <c r="G145" s="19">
        <v>70</v>
      </c>
      <c r="H145" s="19" t="s">
        <v>56</v>
      </c>
      <c r="I145" s="19"/>
      <c r="J145" s="19" t="s">
        <v>57</v>
      </c>
      <c r="K145" s="19" t="b">
        <v>1</v>
      </c>
      <c r="L145" s="15">
        <v>2019</v>
      </c>
      <c r="M145" s="16">
        <v>7254344.97</v>
      </c>
      <c r="N145" s="20">
        <v>41443</v>
      </c>
      <c r="O145" s="20">
        <v>41443</v>
      </c>
    </row>
    <row r="146" spans="1:15" ht="14.25">
      <c r="A146" s="17">
        <v>2013</v>
      </c>
      <c r="B146" s="18" t="s">
        <v>473</v>
      </c>
      <c r="C146" s="18" t="s">
        <v>474</v>
      </c>
      <c r="D146" s="19">
        <v>1008042</v>
      </c>
      <c r="E146" s="19">
        <v>2</v>
      </c>
      <c r="F146" s="19"/>
      <c r="G146" s="19">
        <v>450</v>
      </c>
      <c r="H146" s="19">
        <v>9.1</v>
      </c>
      <c r="I146" s="19" t="s">
        <v>480</v>
      </c>
      <c r="J146" s="19" t="s">
        <v>102</v>
      </c>
      <c r="K146" s="19" t="b">
        <v>1</v>
      </c>
      <c r="L146" s="15">
        <v>2016</v>
      </c>
      <c r="M146" s="16">
        <v>0.0593</v>
      </c>
      <c r="N146" s="20">
        <v>41443</v>
      </c>
      <c r="O146" s="20">
        <v>41443</v>
      </c>
    </row>
    <row r="147" spans="1:15" ht="14.25">
      <c r="A147" s="17">
        <v>2013</v>
      </c>
      <c r="B147" s="18" t="s">
        <v>473</v>
      </c>
      <c r="C147" s="18" t="s">
        <v>474</v>
      </c>
      <c r="D147" s="19">
        <v>1008042</v>
      </c>
      <c r="E147" s="19">
        <v>2</v>
      </c>
      <c r="F147" s="19"/>
      <c r="G147" s="19">
        <v>590</v>
      </c>
      <c r="H147" s="19">
        <v>11.2</v>
      </c>
      <c r="I147" s="19"/>
      <c r="J147" s="19" t="s">
        <v>119</v>
      </c>
      <c r="K147" s="19" t="b">
        <v>1</v>
      </c>
      <c r="L147" s="15">
        <v>2020</v>
      </c>
      <c r="M147" s="16">
        <v>3094392.84</v>
      </c>
      <c r="N147" s="20">
        <v>41443</v>
      </c>
      <c r="O147" s="20">
        <v>41443</v>
      </c>
    </row>
    <row r="148" spans="1:15" ht="14.25">
      <c r="A148" s="17">
        <v>2013</v>
      </c>
      <c r="B148" s="18" t="s">
        <v>473</v>
      </c>
      <c r="C148" s="18" t="s">
        <v>474</v>
      </c>
      <c r="D148" s="19">
        <v>1008042</v>
      </c>
      <c r="E148" s="19">
        <v>2</v>
      </c>
      <c r="F148" s="19"/>
      <c r="G148" s="19">
        <v>190</v>
      </c>
      <c r="H148" s="19">
        <v>2.2</v>
      </c>
      <c r="I148" s="19"/>
      <c r="J148" s="19" t="s">
        <v>76</v>
      </c>
      <c r="K148" s="19" t="b">
        <v>0</v>
      </c>
      <c r="L148" s="15">
        <v>2016</v>
      </c>
      <c r="M148" s="16">
        <v>1138724.11</v>
      </c>
      <c r="N148" s="20">
        <v>41443</v>
      </c>
      <c r="O148" s="20">
        <v>41443</v>
      </c>
    </row>
    <row r="149" spans="1:15" ht="14.25">
      <c r="A149" s="17">
        <v>2013</v>
      </c>
      <c r="B149" s="18" t="s">
        <v>473</v>
      </c>
      <c r="C149" s="18" t="s">
        <v>474</v>
      </c>
      <c r="D149" s="19">
        <v>1008042</v>
      </c>
      <c r="E149" s="19">
        <v>2</v>
      </c>
      <c r="F149" s="19"/>
      <c r="G149" s="19">
        <v>640</v>
      </c>
      <c r="H149" s="19">
        <v>11.5</v>
      </c>
      <c r="I149" s="19"/>
      <c r="J149" s="19" t="s">
        <v>126</v>
      </c>
      <c r="K149" s="19" t="b">
        <v>1</v>
      </c>
      <c r="L149" s="15">
        <v>2017</v>
      </c>
      <c r="M149" s="16">
        <v>1124026.25</v>
      </c>
      <c r="N149" s="20">
        <v>41443</v>
      </c>
      <c r="O149" s="20">
        <v>41443</v>
      </c>
    </row>
    <row r="150" spans="1:15" ht="14.25">
      <c r="A150" s="17">
        <v>2013</v>
      </c>
      <c r="B150" s="18" t="s">
        <v>473</v>
      </c>
      <c r="C150" s="18" t="s">
        <v>474</v>
      </c>
      <c r="D150" s="19">
        <v>1008042</v>
      </c>
      <c r="E150" s="19">
        <v>2</v>
      </c>
      <c r="F150" s="19"/>
      <c r="G150" s="19">
        <v>480</v>
      </c>
      <c r="H150" s="19">
        <v>9.4</v>
      </c>
      <c r="I150" s="19" t="s">
        <v>479</v>
      </c>
      <c r="J150" s="19" t="s">
        <v>104</v>
      </c>
      <c r="K150" s="19" t="b">
        <v>0</v>
      </c>
      <c r="L150" s="15">
        <v>2013</v>
      </c>
      <c r="M150" s="16">
        <v>0.073</v>
      </c>
      <c r="N150" s="20">
        <v>41443</v>
      </c>
      <c r="O150" s="20">
        <v>41443</v>
      </c>
    </row>
    <row r="151" spans="1:15" ht="14.25">
      <c r="A151" s="17">
        <v>2013</v>
      </c>
      <c r="B151" s="18" t="s">
        <v>473</v>
      </c>
      <c r="C151" s="18" t="s">
        <v>474</v>
      </c>
      <c r="D151" s="19">
        <v>1008042</v>
      </c>
      <c r="E151" s="19">
        <v>2</v>
      </c>
      <c r="F151" s="19"/>
      <c r="G151" s="19">
        <v>560</v>
      </c>
      <c r="H151" s="19">
        <v>10.1</v>
      </c>
      <c r="I151" s="19"/>
      <c r="J151" s="19" t="s">
        <v>116</v>
      </c>
      <c r="K151" s="19" t="b">
        <v>0</v>
      </c>
      <c r="L151" s="15">
        <v>2014</v>
      </c>
      <c r="M151" s="16">
        <v>207298.3</v>
      </c>
      <c r="N151" s="20">
        <v>41443</v>
      </c>
      <c r="O151" s="20">
        <v>41443</v>
      </c>
    </row>
    <row r="152" spans="1:15" ht="14.25">
      <c r="A152" s="17">
        <v>2013</v>
      </c>
      <c r="B152" s="18" t="s">
        <v>473</v>
      </c>
      <c r="C152" s="18" t="s">
        <v>474</v>
      </c>
      <c r="D152" s="19">
        <v>1008042</v>
      </c>
      <c r="E152" s="19">
        <v>2</v>
      </c>
      <c r="F152" s="19"/>
      <c r="G152" s="19">
        <v>530</v>
      </c>
      <c r="H152" s="19">
        <v>9.8</v>
      </c>
      <c r="I152" s="19" t="s">
        <v>488</v>
      </c>
      <c r="J152" s="19" t="s">
        <v>112</v>
      </c>
      <c r="K152" s="19" t="b">
        <v>0</v>
      </c>
      <c r="L152" s="15">
        <v>2015</v>
      </c>
      <c r="M152" s="16">
        <v>-78</v>
      </c>
      <c r="N152" s="20">
        <v>41443</v>
      </c>
      <c r="O152" s="20">
        <v>41443</v>
      </c>
    </row>
    <row r="153" spans="1:15" ht="14.25">
      <c r="A153" s="17">
        <v>2013</v>
      </c>
      <c r="B153" s="18" t="s">
        <v>473</v>
      </c>
      <c r="C153" s="18" t="s">
        <v>474</v>
      </c>
      <c r="D153" s="19">
        <v>1008042</v>
      </c>
      <c r="E153" s="19">
        <v>2</v>
      </c>
      <c r="F153" s="19"/>
      <c r="G153" s="19">
        <v>270</v>
      </c>
      <c r="H153" s="19" t="s">
        <v>84</v>
      </c>
      <c r="I153" s="19"/>
      <c r="J153" s="19" t="s">
        <v>82</v>
      </c>
      <c r="K153" s="19" t="b">
        <v>1</v>
      </c>
      <c r="L153" s="15">
        <v>2013</v>
      </c>
      <c r="M153" s="16">
        <v>176821</v>
      </c>
      <c r="N153" s="20">
        <v>41443</v>
      </c>
      <c r="O153" s="20">
        <v>41443</v>
      </c>
    </row>
    <row r="154" spans="1:15" ht="14.25">
      <c r="A154" s="17">
        <v>2013</v>
      </c>
      <c r="B154" s="18" t="s">
        <v>473</v>
      </c>
      <c r="C154" s="18" t="s">
        <v>474</v>
      </c>
      <c r="D154" s="19">
        <v>1008042</v>
      </c>
      <c r="E154" s="19">
        <v>2</v>
      </c>
      <c r="F154" s="19"/>
      <c r="G154" s="19">
        <v>470</v>
      </c>
      <c r="H154" s="19">
        <v>9.3</v>
      </c>
      <c r="I154" s="19" t="s">
        <v>480</v>
      </c>
      <c r="J154" s="19" t="s">
        <v>481</v>
      </c>
      <c r="K154" s="19" t="b">
        <v>1</v>
      </c>
      <c r="L154" s="15">
        <v>2017</v>
      </c>
      <c r="M154" s="16">
        <v>0.0601</v>
      </c>
      <c r="N154" s="20">
        <v>41443</v>
      </c>
      <c r="O154" s="20">
        <v>41443</v>
      </c>
    </row>
    <row r="155" spans="1:15" ht="14.25">
      <c r="A155" s="17">
        <v>2013</v>
      </c>
      <c r="B155" s="18" t="s">
        <v>473</v>
      </c>
      <c r="C155" s="18" t="s">
        <v>474</v>
      </c>
      <c r="D155" s="19">
        <v>1008042</v>
      </c>
      <c r="E155" s="19">
        <v>2</v>
      </c>
      <c r="F155" s="19"/>
      <c r="G155" s="19">
        <v>420</v>
      </c>
      <c r="H155" s="19">
        <v>8.1</v>
      </c>
      <c r="I155" s="19" t="s">
        <v>486</v>
      </c>
      <c r="J155" s="19" t="s">
        <v>100</v>
      </c>
      <c r="K155" s="19" t="b">
        <v>0</v>
      </c>
      <c r="L155" s="15">
        <v>2014</v>
      </c>
      <c r="M155" s="16">
        <v>1537298.3</v>
      </c>
      <c r="N155" s="20">
        <v>41443</v>
      </c>
      <c r="O155" s="20">
        <v>41443</v>
      </c>
    </row>
    <row r="156" spans="1:15" ht="14.25">
      <c r="A156" s="17">
        <v>2013</v>
      </c>
      <c r="B156" s="18" t="s">
        <v>473</v>
      </c>
      <c r="C156" s="18" t="s">
        <v>474</v>
      </c>
      <c r="D156" s="19">
        <v>1008042</v>
      </c>
      <c r="E156" s="19">
        <v>2</v>
      </c>
      <c r="F156" s="19"/>
      <c r="G156" s="19">
        <v>390</v>
      </c>
      <c r="H156" s="19">
        <v>6.3</v>
      </c>
      <c r="I156" s="19" t="s">
        <v>483</v>
      </c>
      <c r="J156" s="19" t="s">
        <v>98</v>
      </c>
      <c r="K156" s="19" t="b">
        <v>0</v>
      </c>
      <c r="L156" s="15">
        <v>2016</v>
      </c>
      <c r="M156" s="16">
        <v>0.1582</v>
      </c>
      <c r="N156" s="20">
        <v>41443</v>
      </c>
      <c r="O156" s="20">
        <v>41443</v>
      </c>
    </row>
    <row r="157" spans="1:15" ht="14.25">
      <c r="A157" s="17">
        <v>2013</v>
      </c>
      <c r="B157" s="18" t="s">
        <v>473</v>
      </c>
      <c r="C157" s="18" t="s">
        <v>474</v>
      </c>
      <c r="D157" s="19">
        <v>1008042</v>
      </c>
      <c r="E157" s="19">
        <v>2</v>
      </c>
      <c r="F157" s="19"/>
      <c r="G157" s="19">
        <v>450</v>
      </c>
      <c r="H157" s="19">
        <v>9.1</v>
      </c>
      <c r="I157" s="19" t="s">
        <v>480</v>
      </c>
      <c r="J157" s="19" t="s">
        <v>102</v>
      </c>
      <c r="K157" s="19" t="b">
        <v>1</v>
      </c>
      <c r="L157" s="15">
        <v>2020</v>
      </c>
      <c r="M157" s="16">
        <v>0.0143</v>
      </c>
      <c r="N157" s="20">
        <v>41443</v>
      </c>
      <c r="O157" s="20">
        <v>41443</v>
      </c>
    </row>
    <row r="158" spans="1:15" ht="14.25">
      <c r="A158" s="17">
        <v>2013</v>
      </c>
      <c r="B158" s="18" t="s">
        <v>473</v>
      </c>
      <c r="C158" s="18" t="s">
        <v>474</v>
      </c>
      <c r="D158" s="19">
        <v>1008042</v>
      </c>
      <c r="E158" s="19">
        <v>2</v>
      </c>
      <c r="F158" s="19"/>
      <c r="G158" s="19">
        <v>480</v>
      </c>
      <c r="H158" s="19">
        <v>9.4</v>
      </c>
      <c r="I158" s="19" t="s">
        <v>479</v>
      </c>
      <c r="J158" s="19" t="s">
        <v>104</v>
      </c>
      <c r="K158" s="19" t="b">
        <v>0</v>
      </c>
      <c r="L158" s="15">
        <v>2017</v>
      </c>
      <c r="M158" s="16">
        <v>0.0601</v>
      </c>
      <c r="N158" s="20">
        <v>41443</v>
      </c>
      <c r="O158" s="20">
        <v>41443</v>
      </c>
    </row>
    <row r="159" spans="1:15" ht="14.25">
      <c r="A159" s="17">
        <v>2013</v>
      </c>
      <c r="B159" s="18" t="s">
        <v>473</v>
      </c>
      <c r="C159" s="18" t="s">
        <v>474</v>
      </c>
      <c r="D159" s="19">
        <v>1008042</v>
      </c>
      <c r="E159" s="19">
        <v>2</v>
      </c>
      <c r="F159" s="19"/>
      <c r="G159" s="19">
        <v>590</v>
      </c>
      <c r="H159" s="19">
        <v>11.2</v>
      </c>
      <c r="I159" s="19"/>
      <c r="J159" s="19" t="s">
        <v>119</v>
      </c>
      <c r="K159" s="19" t="b">
        <v>1</v>
      </c>
      <c r="L159" s="15">
        <v>2013</v>
      </c>
      <c r="M159" s="16">
        <v>2498406</v>
      </c>
      <c r="N159" s="20">
        <v>41443</v>
      </c>
      <c r="O159" s="20">
        <v>41443</v>
      </c>
    </row>
    <row r="160" spans="1:15" ht="14.25">
      <c r="A160" s="17">
        <v>2013</v>
      </c>
      <c r="B160" s="18" t="s">
        <v>473</v>
      </c>
      <c r="C160" s="18" t="s">
        <v>474</v>
      </c>
      <c r="D160" s="19">
        <v>1008042</v>
      </c>
      <c r="E160" s="19">
        <v>2</v>
      </c>
      <c r="F160" s="19"/>
      <c r="G160" s="19">
        <v>430</v>
      </c>
      <c r="H160" s="19">
        <v>8.2</v>
      </c>
      <c r="I160" s="19" t="s">
        <v>490</v>
      </c>
      <c r="J160" s="19" t="s">
        <v>101</v>
      </c>
      <c r="K160" s="19" t="b">
        <v>0</v>
      </c>
      <c r="L160" s="15">
        <v>2015</v>
      </c>
      <c r="M160" s="16">
        <v>2075515.26</v>
      </c>
      <c r="N160" s="20">
        <v>41443</v>
      </c>
      <c r="O160" s="20">
        <v>41443</v>
      </c>
    </row>
    <row r="161" spans="1:15" ht="14.25">
      <c r="A161" s="17">
        <v>2013</v>
      </c>
      <c r="B161" s="18" t="s">
        <v>473</v>
      </c>
      <c r="C161" s="18" t="s">
        <v>474</v>
      </c>
      <c r="D161" s="19">
        <v>1008042</v>
      </c>
      <c r="E161" s="19">
        <v>2</v>
      </c>
      <c r="F161" s="19"/>
      <c r="G161" s="19">
        <v>200</v>
      </c>
      <c r="H161" s="19">
        <v>3</v>
      </c>
      <c r="I161" s="19" t="s">
        <v>489</v>
      </c>
      <c r="J161" s="19" t="s">
        <v>23</v>
      </c>
      <c r="K161" s="19" t="b">
        <v>0</v>
      </c>
      <c r="L161" s="15">
        <v>2019</v>
      </c>
      <c r="M161" s="16">
        <v>1000000</v>
      </c>
      <c r="N161" s="20">
        <v>41443</v>
      </c>
      <c r="O161" s="20">
        <v>41443</v>
      </c>
    </row>
    <row r="162" spans="1:15" ht="14.25">
      <c r="A162" s="17">
        <v>2013</v>
      </c>
      <c r="B162" s="18" t="s">
        <v>473</v>
      </c>
      <c r="C162" s="18" t="s">
        <v>474</v>
      </c>
      <c r="D162" s="19">
        <v>1008042</v>
      </c>
      <c r="E162" s="19">
        <v>2</v>
      </c>
      <c r="F162" s="19"/>
      <c r="G162" s="19">
        <v>120</v>
      </c>
      <c r="H162" s="19">
        <v>2</v>
      </c>
      <c r="I162" s="19" t="s">
        <v>487</v>
      </c>
      <c r="J162" s="19" t="s">
        <v>21</v>
      </c>
      <c r="K162" s="19" t="b">
        <v>0</v>
      </c>
      <c r="L162" s="15">
        <v>2017</v>
      </c>
      <c r="M162" s="16">
        <v>21964445.51</v>
      </c>
      <c r="N162" s="20">
        <v>41443</v>
      </c>
      <c r="O162" s="20">
        <v>41443</v>
      </c>
    </row>
    <row r="163" spans="1:15" ht="14.25">
      <c r="A163" s="17">
        <v>2013</v>
      </c>
      <c r="B163" s="18" t="s">
        <v>473</v>
      </c>
      <c r="C163" s="18" t="s">
        <v>474</v>
      </c>
      <c r="D163" s="19">
        <v>1008042</v>
      </c>
      <c r="E163" s="19">
        <v>2</v>
      </c>
      <c r="F163" s="19"/>
      <c r="G163" s="19">
        <v>880</v>
      </c>
      <c r="H163" s="19">
        <v>14.1</v>
      </c>
      <c r="I163" s="19"/>
      <c r="J163" s="19" t="s">
        <v>158</v>
      </c>
      <c r="K163" s="19" t="b">
        <v>1</v>
      </c>
      <c r="L163" s="15">
        <v>2013</v>
      </c>
      <c r="M163" s="16">
        <v>1133995</v>
      </c>
      <c r="N163" s="20">
        <v>41443</v>
      </c>
      <c r="O163" s="20">
        <v>41443</v>
      </c>
    </row>
    <row r="164" spans="1:15" ht="14.25">
      <c r="A164" s="17">
        <v>2013</v>
      </c>
      <c r="B164" s="18" t="s">
        <v>473</v>
      </c>
      <c r="C164" s="18" t="s">
        <v>474</v>
      </c>
      <c r="D164" s="19">
        <v>1008042</v>
      </c>
      <c r="E164" s="19">
        <v>2</v>
      </c>
      <c r="F164" s="19"/>
      <c r="G164" s="19">
        <v>50</v>
      </c>
      <c r="H164" s="19" t="s">
        <v>52</v>
      </c>
      <c r="I164" s="19"/>
      <c r="J164" s="19" t="s">
        <v>53</v>
      </c>
      <c r="K164" s="19" t="b">
        <v>1</v>
      </c>
      <c r="L164" s="15">
        <v>2017</v>
      </c>
      <c r="M164" s="16">
        <v>5175925.72</v>
      </c>
      <c r="N164" s="20">
        <v>41443</v>
      </c>
      <c r="O164" s="20">
        <v>41443</v>
      </c>
    </row>
    <row r="165" spans="1:15" ht="14.25">
      <c r="A165" s="17">
        <v>2013</v>
      </c>
      <c r="B165" s="18" t="s">
        <v>473</v>
      </c>
      <c r="C165" s="18" t="s">
        <v>474</v>
      </c>
      <c r="D165" s="19">
        <v>1008042</v>
      </c>
      <c r="E165" s="19">
        <v>2</v>
      </c>
      <c r="F165" s="19"/>
      <c r="G165" s="19">
        <v>560</v>
      </c>
      <c r="H165" s="19">
        <v>10.1</v>
      </c>
      <c r="I165" s="19"/>
      <c r="J165" s="19" t="s">
        <v>116</v>
      </c>
      <c r="K165" s="19" t="b">
        <v>0</v>
      </c>
      <c r="L165" s="15">
        <v>2015</v>
      </c>
      <c r="M165" s="16">
        <v>826000</v>
      </c>
      <c r="N165" s="20">
        <v>41443</v>
      </c>
      <c r="O165" s="20">
        <v>41443</v>
      </c>
    </row>
    <row r="166" spans="1:15" ht="14.25">
      <c r="A166" s="17">
        <v>2013</v>
      </c>
      <c r="B166" s="18" t="s">
        <v>473</v>
      </c>
      <c r="C166" s="18" t="s">
        <v>474</v>
      </c>
      <c r="D166" s="19">
        <v>1008042</v>
      </c>
      <c r="E166" s="19">
        <v>2</v>
      </c>
      <c r="F166" s="19"/>
      <c r="G166" s="19">
        <v>50</v>
      </c>
      <c r="H166" s="19" t="s">
        <v>52</v>
      </c>
      <c r="I166" s="19"/>
      <c r="J166" s="19" t="s">
        <v>53</v>
      </c>
      <c r="K166" s="19" t="b">
        <v>1</v>
      </c>
      <c r="L166" s="15">
        <v>2018</v>
      </c>
      <c r="M166" s="16">
        <v>5377786.82</v>
      </c>
      <c r="N166" s="20">
        <v>41443</v>
      </c>
      <c r="O166" s="20">
        <v>41443</v>
      </c>
    </row>
    <row r="167" spans="1:15" ht="14.25">
      <c r="A167" s="17">
        <v>2013</v>
      </c>
      <c r="B167" s="18" t="s">
        <v>473</v>
      </c>
      <c r="C167" s="18" t="s">
        <v>474</v>
      </c>
      <c r="D167" s="19">
        <v>1008042</v>
      </c>
      <c r="E167" s="19">
        <v>2</v>
      </c>
      <c r="F167" s="19"/>
      <c r="G167" s="19">
        <v>540</v>
      </c>
      <c r="H167" s="19" t="s">
        <v>113</v>
      </c>
      <c r="I167" s="19" t="s">
        <v>491</v>
      </c>
      <c r="J167" s="19" t="s">
        <v>114</v>
      </c>
      <c r="K167" s="19" t="b">
        <v>0</v>
      </c>
      <c r="L167" s="15">
        <v>2015</v>
      </c>
      <c r="M167" s="16">
        <v>200</v>
      </c>
      <c r="N167" s="20">
        <v>41443</v>
      </c>
      <c r="O167" s="20">
        <v>41443</v>
      </c>
    </row>
    <row r="168" spans="1:15" ht="14.25">
      <c r="A168" s="17">
        <v>2013</v>
      </c>
      <c r="B168" s="18" t="s">
        <v>473</v>
      </c>
      <c r="C168" s="18" t="s">
        <v>474</v>
      </c>
      <c r="D168" s="19">
        <v>1008042</v>
      </c>
      <c r="E168" s="19">
        <v>2</v>
      </c>
      <c r="F168" s="19"/>
      <c r="G168" s="19">
        <v>350</v>
      </c>
      <c r="H168" s="19">
        <v>6</v>
      </c>
      <c r="I168" s="19"/>
      <c r="J168" s="19" t="s">
        <v>27</v>
      </c>
      <c r="K168" s="19" t="b">
        <v>1</v>
      </c>
      <c r="L168" s="15">
        <v>2017</v>
      </c>
      <c r="M168" s="16">
        <v>2373417.46</v>
      </c>
      <c r="N168" s="20">
        <v>41443</v>
      </c>
      <c r="O168" s="20">
        <v>41443</v>
      </c>
    </row>
    <row r="169" spans="1:15" ht="14.25">
      <c r="A169" s="17">
        <v>2013</v>
      </c>
      <c r="B169" s="18" t="s">
        <v>473</v>
      </c>
      <c r="C169" s="18" t="s">
        <v>474</v>
      </c>
      <c r="D169" s="19">
        <v>1008042</v>
      </c>
      <c r="E169" s="19">
        <v>2</v>
      </c>
      <c r="F169" s="19"/>
      <c r="G169" s="19">
        <v>380</v>
      </c>
      <c r="H169" s="19">
        <v>6.2</v>
      </c>
      <c r="I169" s="19" t="s">
        <v>477</v>
      </c>
      <c r="J169" s="19" t="s">
        <v>97</v>
      </c>
      <c r="K169" s="19" t="b">
        <v>0</v>
      </c>
      <c r="L169" s="15">
        <v>2014</v>
      </c>
      <c r="M169" s="16">
        <v>0.2574</v>
      </c>
      <c r="N169" s="20">
        <v>41443</v>
      </c>
      <c r="O169" s="20">
        <v>41443</v>
      </c>
    </row>
    <row r="170" spans="1:15" ht="14.25">
      <c r="A170" s="17">
        <v>2013</v>
      </c>
      <c r="B170" s="18" t="s">
        <v>473</v>
      </c>
      <c r="C170" s="18" t="s">
        <v>474</v>
      </c>
      <c r="D170" s="19">
        <v>1008042</v>
      </c>
      <c r="E170" s="19">
        <v>2</v>
      </c>
      <c r="F170" s="19"/>
      <c r="G170" s="19">
        <v>170</v>
      </c>
      <c r="H170" s="19" t="s">
        <v>72</v>
      </c>
      <c r="I170" s="19"/>
      <c r="J170" s="19" t="s">
        <v>73</v>
      </c>
      <c r="K170" s="19" t="b">
        <v>1</v>
      </c>
      <c r="L170" s="15">
        <v>2016</v>
      </c>
      <c r="M170" s="16">
        <v>270000</v>
      </c>
      <c r="N170" s="20">
        <v>41443</v>
      </c>
      <c r="O170" s="20">
        <v>41443</v>
      </c>
    </row>
    <row r="171" spans="1:15" ht="14.25">
      <c r="A171" s="17">
        <v>2013</v>
      </c>
      <c r="B171" s="18" t="s">
        <v>473</v>
      </c>
      <c r="C171" s="18" t="s">
        <v>474</v>
      </c>
      <c r="D171" s="19">
        <v>1008042</v>
      </c>
      <c r="E171" s="19">
        <v>2</v>
      </c>
      <c r="F171" s="19"/>
      <c r="G171" s="19">
        <v>350</v>
      </c>
      <c r="H171" s="19">
        <v>6</v>
      </c>
      <c r="I171" s="19"/>
      <c r="J171" s="19" t="s">
        <v>27</v>
      </c>
      <c r="K171" s="19" t="b">
        <v>1</v>
      </c>
      <c r="L171" s="15">
        <v>2019</v>
      </c>
      <c r="M171" s="16">
        <v>249496.46</v>
      </c>
      <c r="N171" s="20">
        <v>41443</v>
      </c>
      <c r="O171" s="20">
        <v>41443</v>
      </c>
    </row>
    <row r="172" spans="1:15" ht="14.25">
      <c r="A172" s="17">
        <v>2013</v>
      </c>
      <c r="B172" s="18" t="s">
        <v>473</v>
      </c>
      <c r="C172" s="18" t="s">
        <v>474</v>
      </c>
      <c r="D172" s="19">
        <v>1008042</v>
      </c>
      <c r="E172" s="19">
        <v>2</v>
      </c>
      <c r="F172" s="19"/>
      <c r="G172" s="19">
        <v>460</v>
      </c>
      <c r="H172" s="19">
        <v>9.2</v>
      </c>
      <c r="I172" s="19" t="s">
        <v>479</v>
      </c>
      <c r="J172" s="19" t="s">
        <v>103</v>
      </c>
      <c r="K172" s="19" t="b">
        <v>0</v>
      </c>
      <c r="L172" s="15">
        <v>2014</v>
      </c>
      <c r="M172" s="16">
        <v>0.0498</v>
      </c>
      <c r="N172" s="20">
        <v>41443</v>
      </c>
      <c r="O172" s="20">
        <v>41443</v>
      </c>
    </row>
    <row r="173" spans="1:15" ht="14.25">
      <c r="A173" s="17">
        <v>2013</v>
      </c>
      <c r="B173" s="18" t="s">
        <v>473</v>
      </c>
      <c r="C173" s="18" t="s">
        <v>474</v>
      </c>
      <c r="D173" s="19">
        <v>1008042</v>
      </c>
      <c r="E173" s="19">
        <v>2</v>
      </c>
      <c r="F173" s="19"/>
      <c r="G173" s="19">
        <v>730</v>
      </c>
      <c r="H173" s="19">
        <v>12.3</v>
      </c>
      <c r="I173" s="19"/>
      <c r="J173" s="19" t="s">
        <v>139</v>
      </c>
      <c r="K173" s="19" t="b">
        <v>0</v>
      </c>
      <c r="L173" s="15">
        <v>2015</v>
      </c>
      <c r="M173" s="16">
        <v>174221.8</v>
      </c>
      <c r="N173" s="20">
        <v>41443</v>
      </c>
      <c r="O173" s="20">
        <v>41443</v>
      </c>
    </row>
    <row r="174" spans="1:15" ht="14.25">
      <c r="A174" s="17">
        <v>2013</v>
      </c>
      <c r="B174" s="18" t="s">
        <v>473</v>
      </c>
      <c r="C174" s="18" t="s">
        <v>474</v>
      </c>
      <c r="D174" s="19">
        <v>1008042</v>
      </c>
      <c r="E174" s="19">
        <v>2</v>
      </c>
      <c r="F174" s="19"/>
      <c r="G174" s="19">
        <v>540</v>
      </c>
      <c r="H174" s="19" t="s">
        <v>113</v>
      </c>
      <c r="I174" s="19" t="s">
        <v>491</v>
      </c>
      <c r="J174" s="19" t="s">
        <v>114</v>
      </c>
      <c r="K174" s="19" t="b">
        <v>0</v>
      </c>
      <c r="L174" s="15">
        <v>2020</v>
      </c>
      <c r="M174" s="16">
        <v>855</v>
      </c>
      <c r="N174" s="20">
        <v>41443</v>
      </c>
      <c r="O174" s="20">
        <v>41443</v>
      </c>
    </row>
    <row r="175" spans="1:15" ht="14.25">
      <c r="A175" s="17">
        <v>2013</v>
      </c>
      <c r="B175" s="18" t="s">
        <v>473</v>
      </c>
      <c r="C175" s="18" t="s">
        <v>474</v>
      </c>
      <c r="D175" s="19">
        <v>1008042</v>
      </c>
      <c r="E175" s="19">
        <v>2</v>
      </c>
      <c r="F175" s="19"/>
      <c r="G175" s="19">
        <v>730</v>
      </c>
      <c r="H175" s="19">
        <v>12.3</v>
      </c>
      <c r="I175" s="19"/>
      <c r="J175" s="19" t="s">
        <v>139</v>
      </c>
      <c r="K175" s="19" t="b">
        <v>0</v>
      </c>
      <c r="L175" s="15">
        <v>2013</v>
      </c>
      <c r="M175" s="16">
        <v>16800</v>
      </c>
      <c r="N175" s="20">
        <v>41443</v>
      </c>
      <c r="O175" s="20">
        <v>41443</v>
      </c>
    </row>
    <row r="176" spans="1:15" ht="14.25">
      <c r="A176" s="17">
        <v>2013</v>
      </c>
      <c r="B176" s="18" t="s">
        <v>473</v>
      </c>
      <c r="C176" s="18" t="s">
        <v>474</v>
      </c>
      <c r="D176" s="19">
        <v>1008042</v>
      </c>
      <c r="E176" s="19">
        <v>2</v>
      </c>
      <c r="F176" s="19"/>
      <c r="G176" s="19">
        <v>710</v>
      </c>
      <c r="H176" s="19" t="s">
        <v>135</v>
      </c>
      <c r="I176" s="19"/>
      <c r="J176" s="19" t="s">
        <v>136</v>
      </c>
      <c r="K176" s="19" t="b">
        <v>0</v>
      </c>
      <c r="L176" s="15">
        <v>2013</v>
      </c>
      <c r="M176" s="16">
        <v>196000</v>
      </c>
      <c r="N176" s="20">
        <v>41443</v>
      </c>
      <c r="O176" s="20">
        <v>41443</v>
      </c>
    </row>
    <row r="177" spans="1:15" ht="14.25">
      <c r="A177" s="17">
        <v>2013</v>
      </c>
      <c r="B177" s="18" t="s">
        <v>473</v>
      </c>
      <c r="C177" s="18" t="s">
        <v>474</v>
      </c>
      <c r="D177" s="19">
        <v>1008042</v>
      </c>
      <c r="E177" s="19">
        <v>2</v>
      </c>
      <c r="F177" s="19"/>
      <c r="G177" s="19">
        <v>190</v>
      </c>
      <c r="H177" s="19">
        <v>2.2</v>
      </c>
      <c r="I177" s="19"/>
      <c r="J177" s="19" t="s">
        <v>76</v>
      </c>
      <c r="K177" s="19" t="b">
        <v>0</v>
      </c>
      <c r="L177" s="15">
        <v>2017</v>
      </c>
      <c r="M177" s="16">
        <v>1124026.25</v>
      </c>
      <c r="N177" s="20">
        <v>41443</v>
      </c>
      <c r="O177" s="20">
        <v>41443</v>
      </c>
    </row>
    <row r="178" spans="1:15" ht="14.25">
      <c r="A178" s="17">
        <v>2013</v>
      </c>
      <c r="B178" s="18" t="s">
        <v>473</v>
      </c>
      <c r="C178" s="18" t="s">
        <v>474</v>
      </c>
      <c r="D178" s="19">
        <v>1008042</v>
      </c>
      <c r="E178" s="19">
        <v>2</v>
      </c>
      <c r="F178" s="19"/>
      <c r="G178" s="19">
        <v>500</v>
      </c>
      <c r="H178" s="19">
        <v>9.6</v>
      </c>
      <c r="I178" s="19" t="s">
        <v>485</v>
      </c>
      <c r="J178" s="19" t="s">
        <v>106</v>
      </c>
      <c r="K178" s="19" t="b">
        <v>0</v>
      </c>
      <c r="L178" s="15">
        <v>2016</v>
      </c>
      <c r="M178" s="16">
        <v>0.0593</v>
      </c>
      <c r="N178" s="20">
        <v>41443</v>
      </c>
      <c r="O178" s="20">
        <v>41443</v>
      </c>
    </row>
    <row r="179" spans="1:15" ht="14.25">
      <c r="A179" s="17">
        <v>2013</v>
      </c>
      <c r="B179" s="18" t="s">
        <v>473</v>
      </c>
      <c r="C179" s="18" t="s">
        <v>474</v>
      </c>
      <c r="D179" s="19">
        <v>1008042</v>
      </c>
      <c r="E179" s="19">
        <v>2</v>
      </c>
      <c r="F179" s="19"/>
      <c r="G179" s="19">
        <v>180</v>
      </c>
      <c r="H179" s="19" t="s">
        <v>74</v>
      </c>
      <c r="I179" s="19"/>
      <c r="J179" s="19" t="s">
        <v>75</v>
      </c>
      <c r="K179" s="19" t="b">
        <v>0</v>
      </c>
      <c r="L179" s="15">
        <v>2018</v>
      </c>
      <c r="M179" s="16">
        <v>210000</v>
      </c>
      <c r="N179" s="20">
        <v>41443</v>
      </c>
      <c r="O179" s="20">
        <v>41443</v>
      </c>
    </row>
    <row r="180" spans="1:15" ht="14.25">
      <c r="A180" s="17">
        <v>2013</v>
      </c>
      <c r="B180" s="18" t="s">
        <v>473</v>
      </c>
      <c r="C180" s="18" t="s">
        <v>474</v>
      </c>
      <c r="D180" s="19">
        <v>1008042</v>
      </c>
      <c r="E180" s="19">
        <v>2</v>
      </c>
      <c r="F180" s="19"/>
      <c r="G180" s="19">
        <v>20</v>
      </c>
      <c r="H180" s="19">
        <v>1.1</v>
      </c>
      <c r="I180" s="19"/>
      <c r="J180" s="19" t="s">
        <v>47</v>
      </c>
      <c r="K180" s="19" t="b">
        <v>1</v>
      </c>
      <c r="L180" s="15">
        <v>2018</v>
      </c>
      <c r="M180" s="16">
        <v>24015908.89</v>
      </c>
      <c r="N180" s="20">
        <v>41443</v>
      </c>
      <c r="O180" s="20">
        <v>41443</v>
      </c>
    </row>
    <row r="181" spans="1:15" ht="14.25">
      <c r="A181" s="17">
        <v>2013</v>
      </c>
      <c r="B181" s="18" t="s">
        <v>473</v>
      </c>
      <c r="C181" s="18" t="s">
        <v>474</v>
      </c>
      <c r="D181" s="19">
        <v>1008042</v>
      </c>
      <c r="E181" s="19">
        <v>2</v>
      </c>
      <c r="F181" s="19"/>
      <c r="G181" s="19">
        <v>390</v>
      </c>
      <c r="H181" s="19">
        <v>6.3</v>
      </c>
      <c r="I181" s="19" t="s">
        <v>483</v>
      </c>
      <c r="J181" s="19" t="s">
        <v>98</v>
      </c>
      <c r="K181" s="19" t="b">
        <v>0</v>
      </c>
      <c r="L181" s="15">
        <v>2018</v>
      </c>
      <c r="M181" s="16">
        <v>0.052</v>
      </c>
      <c r="N181" s="20">
        <v>41443</v>
      </c>
      <c r="O181" s="20">
        <v>41443</v>
      </c>
    </row>
    <row r="182" spans="1:15" ht="14.25">
      <c r="A182" s="17">
        <v>2013</v>
      </c>
      <c r="B182" s="18" t="s">
        <v>473</v>
      </c>
      <c r="C182" s="18" t="s">
        <v>474</v>
      </c>
      <c r="D182" s="19">
        <v>1008042</v>
      </c>
      <c r="E182" s="19">
        <v>2</v>
      </c>
      <c r="F182" s="19"/>
      <c r="G182" s="19">
        <v>450</v>
      </c>
      <c r="H182" s="19">
        <v>9.1</v>
      </c>
      <c r="I182" s="19" t="s">
        <v>480</v>
      </c>
      <c r="J182" s="19" t="s">
        <v>102</v>
      </c>
      <c r="K182" s="19" t="b">
        <v>1</v>
      </c>
      <c r="L182" s="15">
        <v>2015</v>
      </c>
      <c r="M182" s="16">
        <v>0.0517</v>
      </c>
      <c r="N182" s="20">
        <v>41443</v>
      </c>
      <c r="O182" s="20">
        <v>41443</v>
      </c>
    </row>
    <row r="183" spans="1:15" ht="14.25">
      <c r="A183" s="17">
        <v>2013</v>
      </c>
      <c r="B183" s="18" t="s">
        <v>473</v>
      </c>
      <c r="C183" s="18" t="s">
        <v>474</v>
      </c>
      <c r="D183" s="19">
        <v>1008042</v>
      </c>
      <c r="E183" s="19">
        <v>2</v>
      </c>
      <c r="F183" s="19"/>
      <c r="G183" s="19">
        <v>910</v>
      </c>
      <c r="H183" s="19" t="s">
        <v>161</v>
      </c>
      <c r="I183" s="19"/>
      <c r="J183" s="19" t="s">
        <v>162</v>
      </c>
      <c r="K183" s="19" t="b">
        <v>1</v>
      </c>
      <c r="L183" s="15">
        <v>2013</v>
      </c>
      <c r="M183" s="16">
        <v>141.03</v>
      </c>
      <c r="N183" s="20">
        <v>41443</v>
      </c>
      <c r="O183" s="20">
        <v>41443</v>
      </c>
    </row>
    <row r="184" spans="1:15" ht="14.25">
      <c r="A184" s="17">
        <v>2013</v>
      </c>
      <c r="B184" s="18" t="s">
        <v>473</v>
      </c>
      <c r="C184" s="18" t="s">
        <v>474</v>
      </c>
      <c r="D184" s="19">
        <v>1008042</v>
      </c>
      <c r="E184" s="19">
        <v>2</v>
      </c>
      <c r="F184" s="19"/>
      <c r="G184" s="19">
        <v>10</v>
      </c>
      <c r="H184" s="19">
        <v>1</v>
      </c>
      <c r="I184" s="19" t="s">
        <v>492</v>
      </c>
      <c r="J184" s="19" t="s">
        <v>26</v>
      </c>
      <c r="K184" s="19" t="b">
        <v>1</v>
      </c>
      <c r="L184" s="15">
        <v>2014</v>
      </c>
      <c r="M184" s="16">
        <v>20979227.29</v>
      </c>
      <c r="N184" s="20">
        <v>41443</v>
      </c>
      <c r="O184" s="20">
        <v>41443</v>
      </c>
    </row>
    <row r="185" spans="1:15" ht="14.25">
      <c r="A185" s="17">
        <v>2013</v>
      </c>
      <c r="B185" s="18" t="s">
        <v>473</v>
      </c>
      <c r="C185" s="18" t="s">
        <v>474</v>
      </c>
      <c r="D185" s="19">
        <v>1008042</v>
      </c>
      <c r="E185" s="19">
        <v>2</v>
      </c>
      <c r="F185" s="19"/>
      <c r="G185" s="19">
        <v>560</v>
      </c>
      <c r="H185" s="19">
        <v>10.1</v>
      </c>
      <c r="I185" s="19"/>
      <c r="J185" s="19" t="s">
        <v>116</v>
      </c>
      <c r="K185" s="19" t="b">
        <v>0</v>
      </c>
      <c r="L185" s="15">
        <v>2017</v>
      </c>
      <c r="M185" s="16">
        <v>1150000</v>
      </c>
      <c r="N185" s="20">
        <v>41443</v>
      </c>
      <c r="O185" s="20">
        <v>41443</v>
      </c>
    </row>
    <row r="186" spans="1:15" ht="14.25">
      <c r="A186" s="17">
        <v>2013</v>
      </c>
      <c r="B186" s="18" t="s">
        <v>473</v>
      </c>
      <c r="C186" s="18" t="s">
        <v>474</v>
      </c>
      <c r="D186" s="19">
        <v>1008042</v>
      </c>
      <c r="E186" s="19">
        <v>2</v>
      </c>
      <c r="F186" s="19"/>
      <c r="G186" s="19">
        <v>600</v>
      </c>
      <c r="H186" s="19">
        <v>11.3</v>
      </c>
      <c r="I186" s="19" t="s">
        <v>476</v>
      </c>
      <c r="J186" s="19" t="s">
        <v>120</v>
      </c>
      <c r="K186" s="19" t="b">
        <v>1</v>
      </c>
      <c r="L186" s="15">
        <v>2014</v>
      </c>
      <c r="M186" s="16">
        <v>1006789.29</v>
      </c>
      <c r="N186" s="20">
        <v>41443</v>
      </c>
      <c r="O186" s="20">
        <v>41443</v>
      </c>
    </row>
    <row r="187" spans="1:15" ht="14.25">
      <c r="A187" s="17">
        <v>2013</v>
      </c>
      <c r="B187" s="18" t="s">
        <v>473</v>
      </c>
      <c r="C187" s="18" t="s">
        <v>474</v>
      </c>
      <c r="D187" s="19">
        <v>1008042</v>
      </c>
      <c r="E187" s="19">
        <v>2</v>
      </c>
      <c r="F187" s="19"/>
      <c r="G187" s="19">
        <v>550</v>
      </c>
      <c r="H187" s="19">
        <v>10</v>
      </c>
      <c r="I187" s="19"/>
      <c r="J187" s="19" t="s">
        <v>115</v>
      </c>
      <c r="K187" s="19" t="b">
        <v>0</v>
      </c>
      <c r="L187" s="15">
        <v>2017</v>
      </c>
      <c r="M187" s="16">
        <v>1150000</v>
      </c>
      <c r="N187" s="20">
        <v>41443</v>
      </c>
      <c r="O187" s="20">
        <v>41443</v>
      </c>
    </row>
    <row r="188" spans="1:15" ht="14.25">
      <c r="A188" s="17">
        <v>2013</v>
      </c>
      <c r="B188" s="18" t="s">
        <v>473</v>
      </c>
      <c r="C188" s="18" t="s">
        <v>474</v>
      </c>
      <c r="D188" s="19">
        <v>1008042</v>
      </c>
      <c r="E188" s="19">
        <v>2</v>
      </c>
      <c r="F188" s="19"/>
      <c r="G188" s="19">
        <v>580</v>
      </c>
      <c r="H188" s="19">
        <v>11.1</v>
      </c>
      <c r="I188" s="19"/>
      <c r="J188" s="19" t="s">
        <v>118</v>
      </c>
      <c r="K188" s="19" t="b">
        <v>0</v>
      </c>
      <c r="L188" s="15">
        <v>2013</v>
      </c>
      <c r="M188" s="16">
        <v>9479822</v>
      </c>
      <c r="N188" s="20">
        <v>41443</v>
      </c>
      <c r="O188" s="20">
        <v>41443</v>
      </c>
    </row>
    <row r="189" spans="1:15" ht="14.25">
      <c r="A189" s="17">
        <v>2013</v>
      </c>
      <c r="B189" s="18" t="s">
        <v>473</v>
      </c>
      <c r="C189" s="18" t="s">
        <v>474</v>
      </c>
      <c r="D189" s="19">
        <v>1008042</v>
      </c>
      <c r="E189" s="19">
        <v>2</v>
      </c>
      <c r="F189" s="19"/>
      <c r="G189" s="19">
        <v>120</v>
      </c>
      <c r="H189" s="19">
        <v>2</v>
      </c>
      <c r="I189" s="19" t="s">
        <v>487</v>
      </c>
      <c r="J189" s="19" t="s">
        <v>21</v>
      </c>
      <c r="K189" s="19" t="b">
        <v>0</v>
      </c>
      <c r="L189" s="15">
        <v>2015</v>
      </c>
      <c r="M189" s="16">
        <v>20774990.4</v>
      </c>
      <c r="N189" s="20">
        <v>41443</v>
      </c>
      <c r="O189" s="20">
        <v>41443</v>
      </c>
    </row>
    <row r="190" spans="1:15" ht="14.25">
      <c r="A190" s="17">
        <v>2013</v>
      </c>
      <c r="B190" s="18" t="s">
        <v>473</v>
      </c>
      <c r="C190" s="18" t="s">
        <v>474</v>
      </c>
      <c r="D190" s="19">
        <v>1008042</v>
      </c>
      <c r="E190" s="19">
        <v>2</v>
      </c>
      <c r="F190" s="19"/>
      <c r="G190" s="19">
        <v>120</v>
      </c>
      <c r="H190" s="19">
        <v>2</v>
      </c>
      <c r="I190" s="19" t="s">
        <v>487</v>
      </c>
      <c r="J190" s="19" t="s">
        <v>21</v>
      </c>
      <c r="K190" s="19" t="b">
        <v>0</v>
      </c>
      <c r="L190" s="15">
        <v>2020</v>
      </c>
      <c r="M190" s="16">
        <v>25676181.52</v>
      </c>
      <c r="N190" s="20">
        <v>41443</v>
      </c>
      <c r="O190" s="20">
        <v>41443</v>
      </c>
    </row>
    <row r="191" spans="1:15" ht="14.25">
      <c r="A191" s="17">
        <v>2013</v>
      </c>
      <c r="B191" s="18" t="s">
        <v>473</v>
      </c>
      <c r="C191" s="18" t="s">
        <v>474</v>
      </c>
      <c r="D191" s="19">
        <v>1008042</v>
      </c>
      <c r="E191" s="19">
        <v>2</v>
      </c>
      <c r="F191" s="19"/>
      <c r="G191" s="19">
        <v>10</v>
      </c>
      <c r="H191" s="19">
        <v>1</v>
      </c>
      <c r="I191" s="19" t="s">
        <v>492</v>
      </c>
      <c r="J191" s="19" t="s">
        <v>26</v>
      </c>
      <c r="K191" s="19" t="b">
        <v>1</v>
      </c>
      <c r="L191" s="15">
        <v>2013</v>
      </c>
      <c r="M191" s="16">
        <v>21004624.6</v>
      </c>
      <c r="N191" s="20">
        <v>41443</v>
      </c>
      <c r="O191" s="20">
        <v>41443</v>
      </c>
    </row>
    <row r="192" spans="1:15" ht="14.25">
      <c r="A192" s="17">
        <v>2013</v>
      </c>
      <c r="B192" s="18" t="s">
        <v>473</v>
      </c>
      <c r="C192" s="18" t="s">
        <v>474</v>
      </c>
      <c r="D192" s="19">
        <v>1008042</v>
      </c>
      <c r="E192" s="19">
        <v>2</v>
      </c>
      <c r="F192" s="19"/>
      <c r="G192" s="19">
        <v>420</v>
      </c>
      <c r="H192" s="19">
        <v>8.1</v>
      </c>
      <c r="I192" s="19" t="s">
        <v>486</v>
      </c>
      <c r="J192" s="19" t="s">
        <v>100</v>
      </c>
      <c r="K192" s="19" t="b">
        <v>0</v>
      </c>
      <c r="L192" s="15">
        <v>2013</v>
      </c>
      <c r="M192" s="16">
        <v>957179</v>
      </c>
      <c r="N192" s="20">
        <v>41443</v>
      </c>
      <c r="O192" s="20">
        <v>41443</v>
      </c>
    </row>
    <row r="193" spans="1:15" ht="14.25">
      <c r="A193" s="17">
        <v>2013</v>
      </c>
      <c r="B193" s="18" t="s">
        <v>473</v>
      </c>
      <c r="C193" s="18" t="s">
        <v>474</v>
      </c>
      <c r="D193" s="19">
        <v>1008042</v>
      </c>
      <c r="E193" s="19">
        <v>2</v>
      </c>
      <c r="F193" s="19"/>
      <c r="G193" s="19">
        <v>40</v>
      </c>
      <c r="H193" s="19" t="s">
        <v>50</v>
      </c>
      <c r="I193" s="19"/>
      <c r="J193" s="19" t="s">
        <v>51</v>
      </c>
      <c r="K193" s="19" t="b">
        <v>1</v>
      </c>
      <c r="L193" s="15">
        <v>2014</v>
      </c>
      <c r="M193" s="16">
        <v>57145</v>
      </c>
      <c r="N193" s="20">
        <v>41443</v>
      </c>
      <c r="O193" s="20">
        <v>41443</v>
      </c>
    </row>
    <row r="194" spans="1:15" ht="14.25">
      <c r="A194" s="17">
        <v>2013</v>
      </c>
      <c r="B194" s="18" t="s">
        <v>473</v>
      </c>
      <c r="C194" s="18" t="s">
        <v>474</v>
      </c>
      <c r="D194" s="19">
        <v>1008042</v>
      </c>
      <c r="E194" s="19">
        <v>2</v>
      </c>
      <c r="F194" s="19"/>
      <c r="G194" s="19">
        <v>80</v>
      </c>
      <c r="H194" s="19" t="s">
        <v>58</v>
      </c>
      <c r="I194" s="19"/>
      <c r="J194" s="19" t="s">
        <v>59</v>
      </c>
      <c r="K194" s="19" t="b">
        <v>1</v>
      </c>
      <c r="L194" s="15">
        <v>2019</v>
      </c>
      <c r="M194" s="16">
        <v>2791723.28</v>
      </c>
      <c r="N194" s="20">
        <v>41443</v>
      </c>
      <c r="O194" s="20">
        <v>41443</v>
      </c>
    </row>
    <row r="195" spans="1:15" ht="14.25">
      <c r="A195" s="17">
        <v>2013</v>
      </c>
      <c r="B195" s="18" t="s">
        <v>473</v>
      </c>
      <c r="C195" s="18" t="s">
        <v>474</v>
      </c>
      <c r="D195" s="19">
        <v>1008042</v>
      </c>
      <c r="E195" s="19">
        <v>2</v>
      </c>
      <c r="F195" s="19"/>
      <c r="G195" s="19">
        <v>520</v>
      </c>
      <c r="H195" s="19" t="s">
        <v>110</v>
      </c>
      <c r="I195" s="19"/>
      <c r="J195" s="19" t="s">
        <v>475</v>
      </c>
      <c r="K195" s="19" t="b">
        <v>1</v>
      </c>
      <c r="L195" s="15">
        <v>2013</v>
      </c>
      <c r="M195" s="16">
        <v>0.0827</v>
      </c>
      <c r="N195" s="20">
        <v>41443</v>
      </c>
      <c r="O195" s="20">
        <v>41443</v>
      </c>
    </row>
    <row r="196" spans="1:15" ht="14.25">
      <c r="A196" s="17">
        <v>2013</v>
      </c>
      <c r="B196" s="18" t="s">
        <v>473</v>
      </c>
      <c r="C196" s="18" t="s">
        <v>474</v>
      </c>
      <c r="D196" s="19">
        <v>1008042</v>
      </c>
      <c r="E196" s="19">
        <v>2</v>
      </c>
      <c r="F196" s="19"/>
      <c r="G196" s="19">
        <v>50</v>
      </c>
      <c r="H196" s="19" t="s">
        <v>52</v>
      </c>
      <c r="I196" s="19"/>
      <c r="J196" s="19" t="s">
        <v>53</v>
      </c>
      <c r="K196" s="19" t="b">
        <v>1</v>
      </c>
      <c r="L196" s="15">
        <v>2015</v>
      </c>
      <c r="M196" s="16">
        <v>4794650.33</v>
      </c>
      <c r="N196" s="20">
        <v>41443</v>
      </c>
      <c r="O196" s="20">
        <v>41443</v>
      </c>
    </row>
    <row r="197" spans="1:15" ht="14.25">
      <c r="A197" s="17">
        <v>2013</v>
      </c>
      <c r="B197" s="18" t="s">
        <v>473</v>
      </c>
      <c r="C197" s="18" t="s">
        <v>474</v>
      </c>
      <c r="D197" s="19">
        <v>1008042</v>
      </c>
      <c r="E197" s="19">
        <v>2</v>
      </c>
      <c r="F197" s="19"/>
      <c r="G197" s="19">
        <v>10</v>
      </c>
      <c r="H197" s="19">
        <v>1</v>
      </c>
      <c r="I197" s="19" t="s">
        <v>492</v>
      </c>
      <c r="J197" s="19" t="s">
        <v>26</v>
      </c>
      <c r="K197" s="19" t="b">
        <v>1</v>
      </c>
      <c r="L197" s="15">
        <v>2016</v>
      </c>
      <c r="M197" s="16">
        <v>22266819.55</v>
      </c>
      <c r="N197" s="20">
        <v>41443</v>
      </c>
      <c r="O197" s="20">
        <v>41443</v>
      </c>
    </row>
    <row r="198" spans="1:15" ht="14.25">
      <c r="A198" s="17">
        <v>2013</v>
      </c>
      <c r="B198" s="18" t="s">
        <v>473</v>
      </c>
      <c r="C198" s="18" t="s">
        <v>474</v>
      </c>
      <c r="D198" s="19">
        <v>1008042</v>
      </c>
      <c r="E198" s="19">
        <v>2</v>
      </c>
      <c r="F198" s="19"/>
      <c r="G198" s="19">
        <v>580</v>
      </c>
      <c r="H198" s="19">
        <v>11.1</v>
      </c>
      <c r="I198" s="19"/>
      <c r="J198" s="19" t="s">
        <v>118</v>
      </c>
      <c r="K198" s="19" t="b">
        <v>0</v>
      </c>
      <c r="L198" s="15">
        <v>2014</v>
      </c>
      <c r="M198" s="16">
        <v>9740005.48</v>
      </c>
      <c r="N198" s="20">
        <v>41443</v>
      </c>
      <c r="O198" s="20">
        <v>41443</v>
      </c>
    </row>
    <row r="199" spans="1:15" ht="14.25">
      <c r="A199" s="17">
        <v>2013</v>
      </c>
      <c r="B199" s="18" t="s">
        <v>473</v>
      </c>
      <c r="C199" s="18" t="s">
        <v>474</v>
      </c>
      <c r="D199" s="19">
        <v>1008042</v>
      </c>
      <c r="E199" s="19">
        <v>2</v>
      </c>
      <c r="F199" s="19"/>
      <c r="G199" s="19">
        <v>500</v>
      </c>
      <c r="H199" s="19">
        <v>9.6</v>
      </c>
      <c r="I199" s="19" t="s">
        <v>485</v>
      </c>
      <c r="J199" s="19" t="s">
        <v>106</v>
      </c>
      <c r="K199" s="19" t="b">
        <v>0</v>
      </c>
      <c r="L199" s="15">
        <v>2020</v>
      </c>
      <c r="M199" s="16">
        <v>0.0143</v>
      </c>
      <c r="N199" s="20">
        <v>41443</v>
      </c>
      <c r="O199" s="20">
        <v>41443</v>
      </c>
    </row>
    <row r="200" spans="1:15" ht="14.25">
      <c r="A200" s="17">
        <v>2013</v>
      </c>
      <c r="B200" s="18" t="s">
        <v>473</v>
      </c>
      <c r="C200" s="18" t="s">
        <v>474</v>
      </c>
      <c r="D200" s="19">
        <v>1008042</v>
      </c>
      <c r="E200" s="19">
        <v>2</v>
      </c>
      <c r="F200" s="19"/>
      <c r="G200" s="19">
        <v>20</v>
      </c>
      <c r="H200" s="19">
        <v>1.1</v>
      </c>
      <c r="I200" s="19"/>
      <c r="J200" s="19" t="s">
        <v>47</v>
      </c>
      <c r="K200" s="19" t="b">
        <v>1</v>
      </c>
      <c r="L200" s="15">
        <v>2017</v>
      </c>
      <c r="M200" s="16">
        <v>23114445.51</v>
      </c>
      <c r="N200" s="20">
        <v>41443</v>
      </c>
      <c r="O200" s="20">
        <v>41443</v>
      </c>
    </row>
    <row r="201" spans="1:15" ht="14.25">
      <c r="A201" s="17">
        <v>2013</v>
      </c>
      <c r="B201" s="18" t="s">
        <v>473</v>
      </c>
      <c r="C201" s="18" t="s">
        <v>474</v>
      </c>
      <c r="D201" s="19">
        <v>1008042</v>
      </c>
      <c r="E201" s="19">
        <v>2</v>
      </c>
      <c r="F201" s="19"/>
      <c r="G201" s="19">
        <v>80</v>
      </c>
      <c r="H201" s="19" t="s">
        <v>58</v>
      </c>
      <c r="I201" s="19"/>
      <c r="J201" s="19" t="s">
        <v>59</v>
      </c>
      <c r="K201" s="19" t="b">
        <v>1</v>
      </c>
      <c r="L201" s="15">
        <v>2014</v>
      </c>
      <c r="M201" s="16">
        <v>2558334.02</v>
      </c>
      <c r="N201" s="20">
        <v>41443</v>
      </c>
      <c r="O201" s="20">
        <v>41443</v>
      </c>
    </row>
    <row r="202" spans="1:15" ht="14.25">
      <c r="A202" s="17">
        <v>2013</v>
      </c>
      <c r="B202" s="18" t="s">
        <v>473</v>
      </c>
      <c r="C202" s="18" t="s">
        <v>474</v>
      </c>
      <c r="D202" s="19">
        <v>1008042</v>
      </c>
      <c r="E202" s="19">
        <v>2</v>
      </c>
      <c r="F202" s="19"/>
      <c r="G202" s="19">
        <v>30</v>
      </c>
      <c r="H202" s="19" t="s">
        <v>48</v>
      </c>
      <c r="I202" s="19"/>
      <c r="J202" s="19" t="s">
        <v>49</v>
      </c>
      <c r="K202" s="19" t="b">
        <v>1</v>
      </c>
      <c r="L202" s="15">
        <v>2016</v>
      </c>
      <c r="M202" s="16">
        <v>6483595.72</v>
      </c>
      <c r="N202" s="20">
        <v>41443</v>
      </c>
      <c r="O202" s="20">
        <v>41443</v>
      </c>
    </row>
    <row r="203" spans="1:15" ht="14.25">
      <c r="A203" s="17">
        <v>2013</v>
      </c>
      <c r="B203" s="18" t="s">
        <v>473</v>
      </c>
      <c r="C203" s="18" t="s">
        <v>474</v>
      </c>
      <c r="D203" s="19">
        <v>1008042</v>
      </c>
      <c r="E203" s="19">
        <v>2</v>
      </c>
      <c r="F203" s="19"/>
      <c r="G203" s="19">
        <v>300</v>
      </c>
      <c r="H203" s="19">
        <v>5</v>
      </c>
      <c r="I203" s="19" t="s">
        <v>484</v>
      </c>
      <c r="J203" s="19" t="s">
        <v>87</v>
      </c>
      <c r="K203" s="19" t="b">
        <v>0</v>
      </c>
      <c r="L203" s="15">
        <v>2017</v>
      </c>
      <c r="M203" s="16">
        <v>1150000</v>
      </c>
      <c r="N203" s="20">
        <v>41443</v>
      </c>
      <c r="O203" s="20">
        <v>41443</v>
      </c>
    </row>
    <row r="204" spans="1:15" ht="14.25">
      <c r="A204" s="17">
        <v>2013</v>
      </c>
      <c r="B204" s="18" t="s">
        <v>473</v>
      </c>
      <c r="C204" s="18" t="s">
        <v>474</v>
      </c>
      <c r="D204" s="19">
        <v>1008042</v>
      </c>
      <c r="E204" s="19">
        <v>2</v>
      </c>
      <c r="F204" s="19"/>
      <c r="G204" s="19">
        <v>505</v>
      </c>
      <c r="H204" s="19" t="s">
        <v>107</v>
      </c>
      <c r="I204" s="19" t="s">
        <v>478</v>
      </c>
      <c r="J204" s="19" t="s">
        <v>108</v>
      </c>
      <c r="K204" s="19" t="b">
        <v>0</v>
      </c>
      <c r="L204" s="15">
        <v>2017</v>
      </c>
      <c r="M204" s="16">
        <v>0.0984</v>
      </c>
      <c r="N204" s="20">
        <v>41443</v>
      </c>
      <c r="O204" s="20">
        <v>41443</v>
      </c>
    </row>
    <row r="205" spans="1:15" ht="14.25">
      <c r="A205" s="17">
        <v>2013</v>
      </c>
      <c r="B205" s="18" t="s">
        <v>473</v>
      </c>
      <c r="C205" s="18" t="s">
        <v>474</v>
      </c>
      <c r="D205" s="19">
        <v>1008042</v>
      </c>
      <c r="E205" s="19">
        <v>2</v>
      </c>
      <c r="F205" s="19"/>
      <c r="G205" s="19">
        <v>60</v>
      </c>
      <c r="H205" s="19" t="s">
        <v>54</v>
      </c>
      <c r="I205" s="19"/>
      <c r="J205" s="19" t="s">
        <v>55</v>
      </c>
      <c r="K205" s="19" t="b">
        <v>1</v>
      </c>
      <c r="L205" s="15">
        <v>2017</v>
      </c>
      <c r="M205" s="16">
        <v>3385137.24</v>
      </c>
      <c r="N205" s="20">
        <v>41443</v>
      </c>
      <c r="O205" s="20">
        <v>41443</v>
      </c>
    </row>
    <row r="206" spans="1:15" ht="14.25">
      <c r="A206" s="17">
        <v>2013</v>
      </c>
      <c r="B206" s="18" t="s">
        <v>473</v>
      </c>
      <c r="C206" s="18" t="s">
        <v>474</v>
      </c>
      <c r="D206" s="19">
        <v>1008042</v>
      </c>
      <c r="E206" s="19">
        <v>2</v>
      </c>
      <c r="F206" s="19"/>
      <c r="G206" s="19">
        <v>430</v>
      </c>
      <c r="H206" s="19">
        <v>8.2</v>
      </c>
      <c r="I206" s="19" t="s">
        <v>490</v>
      </c>
      <c r="J206" s="19" t="s">
        <v>101</v>
      </c>
      <c r="K206" s="19" t="b">
        <v>0</v>
      </c>
      <c r="L206" s="15">
        <v>2020</v>
      </c>
      <c r="M206" s="16">
        <v>2633007.97</v>
      </c>
      <c r="N206" s="20">
        <v>41443</v>
      </c>
      <c r="O206" s="20">
        <v>41443</v>
      </c>
    </row>
    <row r="207" spans="1:15" ht="14.25">
      <c r="A207" s="17">
        <v>2013</v>
      </c>
      <c r="B207" s="18" t="s">
        <v>473</v>
      </c>
      <c r="C207" s="18" t="s">
        <v>474</v>
      </c>
      <c r="D207" s="19">
        <v>1008042</v>
      </c>
      <c r="E207" s="19">
        <v>2</v>
      </c>
      <c r="F207" s="19"/>
      <c r="G207" s="19">
        <v>170</v>
      </c>
      <c r="H207" s="19" t="s">
        <v>72</v>
      </c>
      <c r="I207" s="19"/>
      <c r="J207" s="19" t="s">
        <v>73</v>
      </c>
      <c r="K207" s="19" t="b">
        <v>1</v>
      </c>
      <c r="L207" s="15">
        <v>2015</v>
      </c>
      <c r="M207" s="16">
        <v>290000</v>
      </c>
      <c r="N207" s="20">
        <v>41443</v>
      </c>
      <c r="O207" s="20">
        <v>41443</v>
      </c>
    </row>
    <row r="208" spans="1:15" ht="14.25">
      <c r="A208" s="17">
        <v>2013</v>
      </c>
      <c r="B208" s="18" t="s">
        <v>473</v>
      </c>
      <c r="C208" s="18" t="s">
        <v>474</v>
      </c>
      <c r="D208" s="19">
        <v>1008042</v>
      </c>
      <c r="E208" s="19">
        <v>2</v>
      </c>
      <c r="F208" s="19"/>
      <c r="G208" s="19">
        <v>510</v>
      </c>
      <c r="H208" s="19">
        <v>9.7</v>
      </c>
      <c r="I208" s="19"/>
      <c r="J208" s="19" t="s">
        <v>482</v>
      </c>
      <c r="K208" s="19" t="b">
        <v>1</v>
      </c>
      <c r="L208" s="15">
        <v>2018</v>
      </c>
      <c r="M208" s="16">
        <v>0.0973</v>
      </c>
      <c r="N208" s="20">
        <v>41443</v>
      </c>
      <c r="O208" s="20">
        <v>41443</v>
      </c>
    </row>
    <row r="209" spans="1:15" ht="14.25">
      <c r="A209" s="17">
        <v>2013</v>
      </c>
      <c r="B209" s="18" t="s">
        <v>473</v>
      </c>
      <c r="C209" s="18" t="s">
        <v>474</v>
      </c>
      <c r="D209" s="19">
        <v>1008042</v>
      </c>
      <c r="E209" s="19">
        <v>2</v>
      </c>
      <c r="F209" s="19"/>
      <c r="G209" s="19">
        <v>70</v>
      </c>
      <c r="H209" s="19" t="s">
        <v>56</v>
      </c>
      <c r="I209" s="19"/>
      <c r="J209" s="19" t="s">
        <v>57</v>
      </c>
      <c r="K209" s="19" t="b">
        <v>1</v>
      </c>
      <c r="L209" s="15">
        <v>2020</v>
      </c>
      <c r="M209" s="16">
        <v>7537264.43</v>
      </c>
      <c r="N209" s="20">
        <v>41443</v>
      </c>
      <c r="O209" s="20">
        <v>41443</v>
      </c>
    </row>
    <row r="210" spans="1:15" ht="14.25">
      <c r="A210" s="17">
        <v>2013</v>
      </c>
      <c r="B210" s="18" t="s">
        <v>473</v>
      </c>
      <c r="C210" s="18" t="s">
        <v>474</v>
      </c>
      <c r="D210" s="19">
        <v>1008042</v>
      </c>
      <c r="E210" s="19">
        <v>2</v>
      </c>
      <c r="F210" s="19"/>
      <c r="G210" s="19">
        <v>690</v>
      </c>
      <c r="H210" s="19" t="s">
        <v>132</v>
      </c>
      <c r="I210" s="19"/>
      <c r="J210" s="19" t="s">
        <v>133</v>
      </c>
      <c r="K210" s="19" t="b">
        <v>1</v>
      </c>
      <c r="L210" s="15">
        <v>2015</v>
      </c>
      <c r="M210" s="16">
        <v>159229.52</v>
      </c>
      <c r="N210" s="20">
        <v>41443</v>
      </c>
      <c r="O210" s="20">
        <v>41443</v>
      </c>
    </row>
    <row r="211" spans="1:15" ht="14.25">
      <c r="A211" s="17">
        <v>2013</v>
      </c>
      <c r="B211" s="18" t="s">
        <v>473</v>
      </c>
      <c r="C211" s="18" t="s">
        <v>474</v>
      </c>
      <c r="D211" s="19">
        <v>1008042</v>
      </c>
      <c r="E211" s="19">
        <v>2</v>
      </c>
      <c r="F211" s="19"/>
      <c r="G211" s="19">
        <v>480</v>
      </c>
      <c r="H211" s="19">
        <v>9.4</v>
      </c>
      <c r="I211" s="19" t="s">
        <v>479</v>
      </c>
      <c r="J211" s="19" t="s">
        <v>104</v>
      </c>
      <c r="K211" s="19" t="b">
        <v>0</v>
      </c>
      <c r="L211" s="15">
        <v>2015</v>
      </c>
      <c r="M211" s="16">
        <v>0.0517</v>
      </c>
      <c r="N211" s="20">
        <v>41443</v>
      </c>
      <c r="O211" s="20">
        <v>41443</v>
      </c>
    </row>
    <row r="212" spans="1:15" ht="14.25">
      <c r="A212" s="17">
        <v>2013</v>
      </c>
      <c r="B212" s="18" t="s">
        <v>473</v>
      </c>
      <c r="C212" s="18" t="s">
        <v>474</v>
      </c>
      <c r="D212" s="19">
        <v>1008042</v>
      </c>
      <c r="E212" s="19">
        <v>2</v>
      </c>
      <c r="F212" s="19"/>
      <c r="G212" s="19">
        <v>880</v>
      </c>
      <c r="H212" s="19">
        <v>14.1</v>
      </c>
      <c r="I212" s="19"/>
      <c r="J212" s="19" t="s">
        <v>158</v>
      </c>
      <c r="K212" s="19" t="b">
        <v>1</v>
      </c>
      <c r="L212" s="15">
        <v>2016</v>
      </c>
      <c r="M212" s="16">
        <v>950000</v>
      </c>
      <c r="N212" s="20">
        <v>41443</v>
      </c>
      <c r="O212" s="20">
        <v>41443</v>
      </c>
    </row>
    <row r="213" spans="1:15" ht="14.25">
      <c r="A213" s="17">
        <v>2013</v>
      </c>
      <c r="B213" s="18" t="s">
        <v>473</v>
      </c>
      <c r="C213" s="18" t="s">
        <v>474</v>
      </c>
      <c r="D213" s="19">
        <v>1008042</v>
      </c>
      <c r="E213" s="19">
        <v>2</v>
      </c>
      <c r="F213" s="19"/>
      <c r="G213" s="19">
        <v>540</v>
      </c>
      <c r="H213" s="19" t="s">
        <v>113</v>
      </c>
      <c r="I213" s="19" t="s">
        <v>491</v>
      </c>
      <c r="J213" s="19" t="s">
        <v>114</v>
      </c>
      <c r="K213" s="19" t="b">
        <v>0</v>
      </c>
      <c r="L213" s="15">
        <v>2019</v>
      </c>
      <c r="M213" s="16">
        <v>530</v>
      </c>
      <c r="N213" s="20">
        <v>41443</v>
      </c>
      <c r="O213" s="20">
        <v>41443</v>
      </c>
    </row>
    <row r="214" spans="1:15" ht="14.25">
      <c r="A214" s="17">
        <v>2013</v>
      </c>
      <c r="B214" s="18" t="s">
        <v>473</v>
      </c>
      <c r="C214" s="18" t="s">
        <v>474</v>
      </c>
      <c r="D214" s="19">
        <v>1008042</v>
      </c>
      <c r="E214" s="19">
        <v>2</v>
      </c>
      <c r="F214" s="19"/>
      <c r="G214" s="19">
        <v>550</v>
      </c>
      <c r="H214" s="19">
        <v>10</v>
      </c>
      <c r="I214" s="19"/>
      <c r="J214" s="19" t="s">
        <v>115</v>
      </c>
      <c r="K214" s="19" t="b">
        <v>0</v>
      </c>
      <c r="L214" s="15">
        <v>2018</v>
      </c>
      <c r="M214" s="16">
        <v>1123921</v>
      </c>
      <c r="N214" s="20">
        <v>41443</v>
      </c>
      <c r="O214" s="20">
        <v>41443</v>
      </c>
    </row>
    <row r="215" spans="1:15" ht="14.25">
      <c r="A215" s="17">
        <v>2013</v>
      </c>
      <c r="B215" s="18" t="s">
        <v>473</v>
      </c>
      <c r="C215" s="18" t="s">
        <v>474</v>
      </c>
      <c r="D215" s="19">
        <v>1008042</v>
      </c>
      <c r="E215" s="19">
        <v>2</v>
      </c>
      <c r="F215" s="19"/>
      <c r="G215" s="19">
        <v>460</v>
      </c>
      <c r="H215" s="19">
        <v>9.2</v>
      </c>
      <c r="I215" s="19" t="s">
        <v>479</v>
      </c>
      <c r="J215" s="19" t="s">
        <v>103</v>
      </c>
      <c r="K215" s="19" t="b">
        <v>0</v>
      </c>
      <c r="L215" s="15">
        <v>2019</v>
      </c>
      <c r="M215" s="16">
        <v>0.0453</v>
      </c>
      <c r="N215" s="20">
        <v>41443</v>
      </c>
      <c r="O215" s="20">
        <v>41443</v>
      </c>
    </row>
    <row r="216" spans="1:15" ht="14.25">
      <c r="A216" s="17">
        <v>2013</v>
      </c>
      <c r="B216" s="18" t="s">
        <v>473</v>
      </c>
      <c r="C216" s="18" t="s">
        <v>474</v>
      </c>
      <c r="D216" s="19">
        <v>1008042</v>
      </c>
      <c r="E216" s="19">
        <v>2</v>
      </c>
      <c r="F216" s="19"/>
      <c r="G216" s="19">
        <v>420</v>
      </c>
      <c r="H216" s="19">
        <v>8.1</v>
      </c>
      <c r="I216" s="19" t="s">
        <v>486</v>
      </c>
      <c r="J216" s="19" t="s">
        <v>100</v>
      </c>
      <c r="K216" s="19" t="b">
        <v>0</v>
      </c>
      <c r="L216" s="15">
        <v>2015</v>
      </c>
      <c r="M216" s="16">
        <v>2075515.26</v>
      </c>
      <c r="N216" s="20">
        <v>41443</v>
      </c>
      <c r="O216" s="20">
        <v>41443</v>
      </c>
    </row>
    <row r="217" spans="1:15" ht="14.25">
      <c r="A217" s="17">
        <v>2013</v>
      </c>
      <c r="B217" s="18" t="s">
        <v>473</v>
      </c>
      <c r="C217" s="18" t="s">
        <v>474</v>
      </c>
      <c r="D217" s="19">
        <v>1008042</v>
      </c>
      <c r="E217" s="19">
        <v>2</v>
      </c>
      <c r="F217" s="19"/>
      <c r="G217" s="19">
        <v>180</v>
      </c>
      <c r="H217" s="19" t="s">
        <v>74</v>
      </c>
      <c r="I217" s="19"/>
      <c r="J217" s="19" t="s">
        <v>75</v>
      </c>
      <c r="K217" s="19" t="b">
        <v>0</v>
      </c>
      <c r="L217" s="15">
        <v>2017</v>
      </c>
      <c r="M217" s="16">
        <v>240000</v>
      </c>
      <c r="N217" s="20">
        <v>41443</v>
      </c>
      <c r="O217" s="20">
        <v>41443</v>
      </c>
    </row>
    <row r="218" spans="1:15" ht="14.25">
      <c r="A218" s="17">
        <v>2013</v>
      </c>
      <c r="B218" s="18" t="s">
        <v>473</v>
      </c>
      <c r="C218" s="18" t="s">
        <v>474</v>
      </c>
      <c r="D218" s="19">
        <v>1008042</v>
      </c>
      <c r="E218" s="19">
        <v>2</v>
      </c>
      <c r="F218" s="19"/>
      <c r="G218" s="19">
        <v>510</v>
      </c>
      <c r="H218" s="19">
        <v>9.7</v>
      </c>
      <c r="I218" s="19"/>
      <c r="J218" s="19" t="s">
        <v>482</v>
      </c>
      <c r="K218" s="19" t="b">
        <v>1</v>
      </c>
      <c r="L218" s="15">
        <v>2017</v>
      </c>
      <c r="M218" s="16">
        <v>0.0889</v>
      </c>
      <c r="N218" s="20">
        <v>41443</v>
      </c>
      <c r="O218" s="20">
        <v>41443</v>
      </c>
    </row>
    <row r="219" spans="1:15" ht="14.25">
      <c r="A219" s="17">
        <v>2013</v>
      </c>
      <c r="B219" s="18" t="s">
        <v>473</v>
      </c>
      <c r="C219" s="18" t="s">
        <v>474</v>
      </c>
      <c r="D219" s="19">
        <v>1008042</v>
      </c>
      <c r="E219" s="19">
        <v>2</v>
      </c>
      <c r="F219" s="19"/>
      <c r="G219" s="19">
        <v>640</v>
      </c>
      <c r="H219" s="19">
        <v>11.5</v>
      </c>
      <c r="I219" s="19"/>
      <c r="J219" s="19" t="s">
        <v>126</v>
      </c>
      <c r="K219" s="19" t="b">
        <v>1</v>
      </c>
      <c r="L219" s="15">
        <v>2016</v>
      </c>
      <c r="M219" s="16">
        <v>438724.11</v>
      </c>
      <c r="N219" s="20">
        <v>41443</v>
      </c>
      <c r="O219" s="20">
        <v>41443</v>
      </c>
    </row>
    <row r="220" spans="1:15" ht="14.25">
      <c r="A220" s="17">
        <v>2013</v>
      </c>
      <c r="B220" s="18" t="s">
        <v>473</v>
      </c>
      <c r="C220" s="18" t="s">
        <v>474</v>
      </c>
      <c r="D220" s="19">
        <v>1008042</v>
      </c>
      <c r="E220" s="19">
        <v>2</v>
      </c>
      <c r="F220" s="19"/>
      <c r="G220" s="19">
        <v>530</v>
      </c>
      <c r="H220" s="19">
        <v>9.8</v>
      </c>
      <c r="I220" s="19" t="s">
        <v>488</v>
      </c>
      <c r="J220" s="19" t="s">
        <v>112</v>
      </c>
      <c r="K220" s="19" t="b">
        <v>0</v>
      </c>
      <c r="L220" s="15">
        <v>2014</v>
      </c>
      <c r="M220" s="16">
        <v>1</v>
      </c>
      <c r="N220" s="20">
        <v>41443</v>
      </c>
      <c r="O220" s="20">
        <v>41443</v>
      </c>
    </row>
    <row r="221" spans="1:15" ht="14.25">
      <c r="A221" s="17">
        <v>2013</v>
      </c>
      <c r="B221" s="18" t="s">
        <v>473</v>
      </c>
      <c r="C221" s="18" t="s">
        <v>474</v>
      </c>
      <c r="D221" s="19">
        <v>1008042</v>
      </c>
      <c r="E221" s="19">
        <v>2</v>
      </c>
      <c r="F221" s="19"/>
      <c r="G221" s="19">
        <v>550</v>
      </c>
      <c r="H221" s="19">
        <v>10</v>
      </c>
      <c r="I221" s="19"/>
      <c r="J221" s="19" t="s">
        <v>115</v>
      </c>
      <c r="K221" s="19" t="b">
        <v>0</v>
      </c>
      <c r="L221" s="15">
        <v>2014</v>
      </c>
      <c r="M221" s="16">
        <v>207298.3</v>
      </c>
      <c r="N221" s="20">
        <v>41443</v>
      </c>
      <c r="O221" s="20">
        <v>41443</v>
      </c>
    </row>
    <row r="222" spans="1:15" ht="14.25">
      <c r="A222" s="17">
        <v>2013</v>
      </c>
      <c r="B222" s="18" t="s">
        <v>473</v>
      </c>
      <c r="C222" s="18" t="s">
        <v>474</v>
      </c>
      <c r="D222" s="19">
        <v>1008042</v>
      </c>
      <c r="E222" s="19">
        <v>2</v>
      </c>
      <c r="F222" s="19"/>
      <c r="G222" s="19">
        <v>40</v>
      </c>
      <c r="H222" s="19" t="s">
        <v>50</v>
      </c>
      <c r="I222" s="19"/>
      <c r="J222" s="19" t="s">
        <v>51</v>
      </c>
      <c r="K222" s="19" t="b">
        <v>1</v>
      </c>
      <c r="L222" s="15">
        <v>2020</v>
      </c>
      <c r="M222" s="16">
        <v>71544.54</v>
      </c>
      <c r="N222" s="20">
        <v>41443</v>
      </c>
      <c r="O222" s="20">
        <v>41443</v>
      </c>
    </row>
    <row r="223" spans="1:15" ht="14.25">
      <c r="A223" s="17">
        <v>2013</v>
      </c>
      <c r="B223" s="18" t="s">
        <v>473</v>
      </c>
      <c r="C223" s="18" t="s">
        <v>474</v>
      </c>
      <c r="D223" s="19">
        <v>1008042</v>
      </c>
      <c r="E223" s="19">
        <v>2</v>
      </c>
      <c r="F223" s="19"/>
      <c r="G223" s="19">
        <v>520</v>
      </c>
      <c r="H223" s="19" t="s">
        <v>110</v>
      </c>
      <c r="I223" s="19"/>
      <c r="J223" s="19" t="s">
        <v>475</v>
      </c>
      <c r="K223" s="19" t="b">
        <v>1</v>
      </c>
      <c r="L223" s="15">
        <v>2014</v>
      </c>
      <c r="M223" s="16">
        <v>0.0778</v>
      </c>
      <c r="N223" s="20">
        <v>41443</v>
      </c>
      <c r="O223" s="20">
        <v>41443</v>
      </c>
    </row>
    <row r="224" spans="1:15" ht="14.25">
      <c r="A224" s="17">
        <v>2013</v>
      </c>
      <c r="B224" s="18" t="s">
        <v>473</v>
      </c>
      <c r="C224" s="18" t="s">
        <v>474</v>
      </c>
      <c r="D224" s="19">
        <v>1008042</v>
      </c>
      <c r="E224" s="19">
        <v>2</v>
      </c>
      <c r="F224" s="19"/>
      <c r="G224" s="19">
        <v>180</v>
      </c>
      <c r="H224" s="19" t="s">
        <v>74</v>
      </c>
      <c r="I224" s="19"/>
      <c r="J224" s="19" t="s">
        <v>75</v>
      </c>
      <c r="K224" s="19" t="b">
        <v>0</v>
      </c>
      <c r="L224" s="15">
        <v>2013</v>
      </c>
      <c r="M224" s="16">
        <v>400000</v>
      </c>
      <c r="N224" s="20">
        <v>41443</v>
      </c>
      <c r="O224" s="20">
        <v>41443</v>
      </c>
    </row>
    <row r="225" spans="1:15" ht="14.25">
      <c r="A225" s="17">
        <v>2013</v>
      </c>
      <c r="B225" s="18" t="s">
        <v>473</v>
      </c>
      <c r="C225" s="18" t="s">
        <v>474</v>
      </c>
      <c r="D225" s="19">
        <v>1008042</v>
      </c>
      <c r="E225" s="19">
        <v>2</v>
      </c>
      <c r="F225" s="19"/>
      <c r="G225" s="19">
        <v>530</v>
      </c>
      <c r="H225" s="19">
        <v>9.8</v>
      </c>
      <c r="I225" s="19" t="s">
        <v>488</v>
      </c>
      <c r="J225" s="19" t="s">
        <v>112</v>
      </c>
      <c r="K225" s="19" t="b">
        <v>0</v>
      </c>
      <c r="L225" s="15">
        <v>2017</v>
      </c>
      <c r="M225" s="16">
        <v>288</v>
      </c>
      <c r="N225" s="20">
        <v>41443</v>
      </c>
      <c r="O225" s="20">
        <v>41443</v>
      </c>
    </row>
    <row r="226" spans="1:15" ht="14.25">
      <c r="A226" s="17">
        <v>2013</v>
      </c>
      <c r="B226" s="18" t="s">
        <v>473</v>
      </c>
      <c r="C226" s="18" t="s">
        <v>474</v>
      </c>
      <c r="D226" s="19">
        <v>1008042</v>
      </c>
      <c r="E226" s="19">
        <v>2</v>
      </c>
      <c r="F226" s="19"/>
      <c r="G226" s="19">
        <v>120</v>
      </c>
      <c r="H226" s="19">
        <v>2</v>
      </c>
      <c r="I226" s="19" t="s">
        <v>487</v>
      </c>
      <c r="J226" s="19" t="s">
        <v>21</v>
      </c>
      <c r="K226" s="19" t="b">
        <v>0</v>
      </c>
      <c r="L226" s="15">
        <v>2014</v>
      </c>
      <c r="M226" s="16">
        <v>20771928.99</v>
      </c>
      <c r="N226" s="20">
        <v>41443</v>
      </c>
      <c r="O226" s="20">
        <v>41443</v>
      </c>
    </row>
    <row r="227" spans="1:15" ht="14.25">
      <c r="A227" s="17">
        <v>2013</v>
      </c>
      <c r="B227" s="18" t="s">
        <v>473</v>
      </c>
      <c r="C227" s="18" t="s">
        <v>474</v>
      </c>
      <c r="D227" s="19">
        <v>1008042</v>
      </c>
      <c r="E227" s="19">
        <v>2</v>
      </c>
      <c r="F227" s="19"/>
      <c r="G227" s="19">
        <v>505</v>
      </c>
      <c r="H227" s="19" t="s">
        <v>107</v>
      </c>
      <c r="I227" s="19" t="s">
        <v>478</v>
      </c>
      <c r="J227" s="19" t="s">
        <v>108</v>
      </c>
      <c r="K227" s="19" t="b">
        <v>0</v>
      </c>
      <c r="L227" s="15">
        <v>2020</v>
      </c>
      <c r="M227" s="16">
        <v>0.1016</v>
      </c>
      <c r="N227" s="20">
        <v>41443</v>
      </c>
      <c r="O227" s="20">
        <v>41443</v>
      </c>
    </row>
    <row r="228" spans="1:15" ht="14.25">
      <c r="A228" s="17">
        <v>2013</v>
      </c>
      <c r="B228" s="18" t="s">
        <v>473</v>
      </c>
      <c r="C228" s="18" t="s">
        <v>474</v>
      </c>
      <c r="D228" s="19">
        <v>1008042</v>
      </c>
      <c r="E228" s="19">
        <v>2</v>
      </c>
      <c r="F228" s="19"/>
      <c r="G228" s="19">
        <v>530</v>
      </c>
      <c r="H228" s="19">
        <v>9.8</v>
      </c>
      <c r="I228" s="19" t="s">
        <v>488</v>
      </c>
      <c r="J228" s="19" t="s">
        <v>112</v>
      </c>
      <c r="K228" s="19" t="b">
        <v>0</v>
      </c>
      <c r="L228" s="15">
        <v>2019</v>
      </c>
      <c r="M228" s="16">
        <v>530</v>
      </c>
      <c r="N228" s="20">
        <v>41443</v>
      </c>
      <c r="O228" s="20">
        <v>41443</v>
      </c>
    </row>
    <row r="229" spans="1:15" ht="14.25">
      <c r="A229" s="17">
        <v>2013</v>
      </c>
      <c r="B229" s="18" t="s">
        <v>473</v>
      </c>
      <c r="C229" s="18" t="s">
        <v>474</v>
      </c>
      <c r="D229" s="19">
        <v>1008042</v>
      </c>
      <c r="E229" s="19">
        <v>2</v>
      </c>
      <c r="F229" s="19"/>
      <c r="G229" s="19">
        <v>310</v>
      </c>
      <c r="H229" s="19">
        <v>5.1</v>
      </c>
      <c r="I229" s="19"/>
      <c r="J229" s="19" t="s">
        <v>88</v>
      </c>
      <c r="K229" s="19" t="b">
        <v>1</v>
      </c>
      <c r="L229" s="15">
        <v>2019</v>
      </c>
      <c r="M229" s="16">
        <v>1000000</v>
      </c>
      <c r="N229" s="20">
        <v>41443</v>
      </c>
      <c r="O229" s="20">
        <v>41443</v>
      </c>
    </row>
    <row r="230" spans="1:15" ht="14.25">
      <c r="A230" s="17">
        <v>2013</v>
      </c>
      <c r="B230" s="18" t="s">
        <v>473</v>
      </c>
      <c r="C230" s="18" t="s">
        <v>474</v>
      </c>
      <c r="D230" s="19">
        <v>1008042</v>
      </c>
      <c r="E230" s="19">
        <v>2</v>
      </c>
      <c r="F230" s="19"/>
      <c r="G230" s="19">
        <v>680</v>
      </c>
      <c r="H230" s="19" t="s">
        <v>130</v>
      </c>
      <c r="I230" s="19"/>
      <c r="J230" s="19" t="s">
        <v>131</v>
      </c>
      <c r="K230" s="19" t="b">
        <v>1</v>
      </c>
      <c r="L230" s="15">
        <v>2015</v>
      </c>
      <c r="M230" s="16">
        <v>159229.52</v>
      </c>
      <c r="N230" s="20">
        <v>41443</v>
      </c>
      <c r="O230" s="20">
        <v>41443</v>
      </c>
    </row>
    <row r="231" spans="1:15" ht="14.25">
      <c r="A231" s="17">
        <v>2013</v>
      </c>
      <c r="B231" s="18" t="s">
        <v>473</v>
      </c>
      <c r="C231" s="18" t="s">
        <v>474</v>
      </c>
      <c r="D231" s="19">
        <v>1008042</v>
      </c>
      <c r="E231" s="19">
        <v>2</v>
      </c>
      <c r="F231" s="19"/>
      <c r="G231" s="19">
        <v>480</v>
      </c>
      <c r="H231" s="19">
        <v>9.4</v>
      </c>
      <c r="I231" s="19" t="s">
        <v>479</v>
      </c>
      <c r="J231" s="19" t="s">
        <v>104</v>
      </c>
      <c r="K231" s="19" t="b">
        <v>0</v>
      </c>
      <c r="L231" s="15">
        <v>2014</v>
      </c>
      <c r="M231" s="16">
        <v>0.0498</v>
      </c>
      <c r="N231" s="20">
        <v>41443</v>
      </c>
      <c r="O231" s="20">
        <v>41443</v>
      </c>
    </row>
    <row r="232" spans="1:15" ht="14.25">
      <c r="A232" s="17">
        <v>2013</v>
      </c>
      <c r="B232" s="18" t="s">
        <v>473</v>
      </c>
      <c r="C232" s="18" t="s">
        <v>474</v>
      </c>
      <c r="D232" s="19">
        <v>1008042</v>
      </c>
      <c r="E232" s="19">
        <v>2</v>
      </c>
      <c r="F232" s="19"/>
      <c r="G232" s="19">
        <v>550</v>
      </c>
      <c r="H232" s="19">
        <v>10</v>
      </c>
      <c r="I232" s="19"/>
      <c r="J232" s="19" t="s">
        <v>115</v>
      </c>
      <c r="K232" s="19" t="b">
        <v>0</v>
      </c>
      <c r="L232" s="15">
        <v>2019</v>
      </c>
      <c r="M232" s="16">
        <v>1000000</v>
      </c>
      <c r="N232" s="20">
        <v>41443</v>
      </c>
      <c r="O232" s="20">
        <v>41443</v>
      </c>
    </row>
    <row r="233" spans="1:15" ht="14.25">
      <c r="A233" s="17">
        <v>2013</v>
      </c>
      <c r="B233" s="18" t="s">
        <v>473</v>
      </c>
      <c r="C233" s="18" t="s">
        <v>474</v>
      </c>
      <c r="D233" s="19">
        <v>1008042</v>
      </c>
      <c r="E233" s="19">
        <v>2</v>
      </c>
      <c r="F233" s="19"/>
      <c r="G233" s="19">
        <v>210</v>
      </c>
      <c r="H233" s="19">
        <v>4</v>
      </c>
      <c r="I233" s="19" t="s">
        <v>493</v>
      </c>
      <c r="J233" s="19" t="s">
        <v>24</v>
      </c>
      <c r="K233" s="19" t="b">
        <v>0</v>
      </c>
      <c r="L233" s="15">
        <v>2014</v>
      </c>
      <c r="M233" s="16">
        <v>486701.7</v>
      </c>
      <c r="N233" s="20">
        <v>41443</v>
      </c>
      <c r="O233" s="20">
        <v>41443</v>
      </c>
    </row>
    <row r="234" spans="1:15" ht="14.25">
      <c r="A234" s="17">
        <v>2013</v>
      </c>
      <c r="B234" s="18" t="s">
        <v>473</v>
      </c>
      <c r="C234" s="18" t="s">
        <v>474</v>
      </c>
      <c r="D234" s="19">
        <v>1008042</v>
      </c>
      <c r="E234" s="19">
        <v>2</v>
      </c>
      <c r="F234" s="19"/>
      <c r="G234" s="19">
        <v>350</v>
      </c>
      <c r="H234" s="19">
        <v>6</v>
      </c>
      <c r="I234" s="19"/>
      <c r="J234" s="19" t="s">
        <v>27</v>
      </c>
      <c r="K234" s="19" t="b">
        <v>1</v>
      </c>
      <c r="L234" s="15">
        <v>2013</v>
      </c>
      <c r="M234" s="16">
        <v>5606715.76</v>
      </c>
      <c r="N234" s="20">
        <v>41443</v>
      </c>
      <c r="O234" s="20">
        <v>41443</v>
      </c>
    </row>
    <row r="235" spans="1:15" ht="14.25">
      <c r="A235" s="17">
        <v>2013</v>
      </c>
      <c r="B235" s="18" t="s">
        <v>473</v>
      </c>
      <c r="C235" s="18" t="s">
        <v>474</v>
      </c>
      <c r="D235" s="19">
        <v>1008042</v>
      </c>
      <c r="E235" s="19">
        <v>2</v>
      </c>
      <c r="F235" s="19"/>
      <c r="G235" s="19">
        <v>170</v>
      </c>
      <c r="H235" s="19" t="s">
        <v>72</v>
      </c>
      <c r="I235" s="19"/>
      <c r="J235" s="19" t="s">
        <v>73</v>
      </c>
      <c r="K235" s="19" t="b">
        <v>1</v>
      </c>
      <c r="L235" s="15">
        <v>2019</v>
      </c>
      <c r="M235" s="16">
        <v>130000</v>
      </c>
      <c r="N235" s="20">
        <v>41443</v>
      </c>
      <c r="O235" s="20">
        <v>41443</v>
      </c>
    </row>
    <row r="236" spans="1:15" ht="14.25">
      <c r="A236" s="17">
        <v>2013</v>
      </c>
      <c r="B236" s="18" t="s">
        <v>473</v>
      </c>
      <c r="C236" s="18" t="s">
        <v>474</v>
      </c>
      <c r="D236" s="19">
        <v>1008042</v>
      </c>
      <c r="E236" s="19">
        <v>2</v>
      </c>
      <c r="F236" s="19"/>
      <c r="G236" s="19">
        <v>690</v>
      </c>
      <c r="H236" s="19" t="s">
        <v>132</v>
      </c>
      <c r="I236" s="19"/>
      <c r="J236" s="19" t="s">
        <v>133</v>
      </c>
      <c r="K236" s="19" t="b">
        <v>1</v>
      </c>
      <c r="L236" s="15">
        <v>2013</v>
      </c>
      <c r="M236" s="16">
        <v>338741.01</v>
      </c>
      <c r="N236" s="20">
        <v>41443</v>
      </c>
      <c r="O236" s="20">
        <v>41443</v>
      </c>
    </row>
    <row r="237" spans="1:15" ht="14.25">
      <c r="A237" s="17">
        <v>2013</v>
      </c>
      <c r="B237" s="18" t="s">
        <v>473</v>
      </c>
      <c r="C237" s="18" t="s">
        <v>474</v>
      </c>
      <c r="D237" s="19">
        <v>1008042</v>
      </c>
      <c r="E237" s="19">
        <v>2</v>
      </c>
      <c r="F237" s="19"/>
      <c r="G237" s="19">
        <v>130</v>
      </c>
      <c r="H237" s="19">
        <v>2.1</v>
      </c>
      <c r="I237" s="19"/>
      <c r="J237" s="19" t="s">
        <v>65</v>
      </c>
      <c r="K237" s="19" t="b">
        <v>1</v>
      </c>
      <c r="L237" s="15">
        <v>2019</v>
      </c>
      <c r="M237" s="16">
        <v>22411413.47</v>
      </c>
      <c r="N237" s="20">
        <v>41443</v>
      </c>
      <c r="O237" s="20">
        <v>41443</v>
      </c>
    </row>
    <row r="238" spans="1:15" ht="14.25">
      <c r="A238" s="17">
        <v>2013</v>
      </c>
      <c r="B238" s="18" t="s">
        <v>473</v>
      </c>
      <c r="C238" s="18" t="s">
        <v>474</v>
      </c>
      <c r="D238" s="19">
        <v>1008042</v>
      </c>
      <c r="E238" s="19">
        <v>2</v>
      </c>
      <c r="F238" s="19"/>
      <c r="G238" s="19">
        <v>60</v>
      </c>
      <c r="H238" s="19" t="s">
        <v>54</v>
      </c>
      <c r="I238" s="19"/>
      <c r="J238" s="19" t="s">
        <v>55</v>
      </c>
      <c r="K238" s="19" t="b">
        <v>1</v>
      </c>
      <c r="L238" s="15">
        <v>2018</v>
      </c>
      <c r="M238" s="16">
        <v>3517157.59</v>
      </c>
      <c r="N238" s="20">
        <v>41443</v>
      </c>
      <c r="O238" s="20">
        <v>41443</v>
      </c>
    </row>
    <row r="239" spans="1:15" ht="14.25">
      <c r="A239" s="17">
        <v>2013</v>
      </c>
      <c r="B239" s="18" t="s">
        <v>473</v>
      </c>
      <c r="C239" s="18" t="s">
        <v>474</v>
      </c>
      <c r="D239" s="19">
        <v>1008042</v>
      </c>
      <c r="E239" s="19">
        <v>2</v>
      </c>
      <c r="F239" s="19"/>
      <c r="G239" s="19">
        <v>90</v>
      </c>
      <c r="H239" s="19">
        <v>1.2</v>
      </c>
      <c r="I239" s="19"/>
      <c r="J239" s="19" t="s">
        <v>60</v>
      </c>
      <c r="K239" s="19" t="b">
        <v>1</v>
      </c>
      <c r="L239" s="15">
        <v>2014</v>
      </c>
      <c r="M239" s="16">
        <v>30000</v>
      </c>
      <c r="N239" s="20">
        <v>41443</v>
      </c>
      <c r="O239" s="20">
        <v>41443</v>
      </c>
    </row>
    <row r="240" spans="1:15" ht="14.25">
      <c r="A240" s="17">
        <v>2013</v>
      </c>
      <c r="B240" s="18" t="s">
        <v>473</v>
      </c>
      <c r="C240" s="18" t="s">
        <v>474</v>
      </c>
      <c r="D240" s="19">
        <v>1008042</v>
      </c>
      <c r="E240" s="19">
        <v>2</v>
      </c>
      <c r="F240" s="19"/>
      <c r="G240" s="19">
        <v>80</v>
      </c>
      <c r="H240" s="19" t="s">
        <v>58</v>
      </c>
      <c r="I240" s="19"/>
      <c r="J240" s="19" t="s">
        <v>59</v>
      </c>
      <c r="K240" s="19" t="b">
        <v>1</v>
      </c>
      <c r="L240" s="15">
        <v>2016</v>
      </c>
      <c r="M240" s="16">
        <v>2489004.75</v>
      </c>
      <c r="N240" s="20">
        <v>41443</v>
      </c>
      <c r="O240" s="20">
        <v>41443</v>
      </c>
    </row>
    <row r="241" spans="1:15" ht="14.25">
      <c r="A241" s="17">
        <v>2013</v>
      </c>
      <c r="B241" s="18" t="s">
        <v>473</v>
      </c>
      <c r="C241" s="18" t="s">
        <v>474</v>
      </c>
      <c r="D241" s="19">
        <v>1008042</v>
      </c>
      <c r="E241" s="19">
        <v>2</v>
      </c>
      <c r="F241" s="19"/>
      <c r="G241" s="19">
        <v>310</v>
      </c>
      <c r="H241" s="19">
        <v>5.1</v>
      </c>
      <c r="I241" s="19"/>
      <c r="J241" s="19" t="s">
        <v>88</v>
      </c>
      <c r="K241" s="19" t="b">
        <v>1</v>
      </c>
      <c r="L241" s="15">
        <v>2014</v>
      </c>
      <c r="M241" s="16">
        <v>694000</v>
      </c>
      <c r="N241" s="20">
        <v>41443</v>
      </c>
      <c r="O241" s="20">
        <v>41443</v>
      </c>
    </row>
    <row r="242" spans="1:15" ht="14.25">
      <c r="A242" s="17">
        <v>2013</v>
      </c>
      <c r="B242" s="18" t="s">
        <v>473</v>
      </c>
      <c r="C242" s="18" t="s">
        <v>474</v>
      </c>
      <c r="D242" s="19">
        <v>1008042</v>
      </c>
      <c r="E242" s="19">
        <v>2</v>
      </c>
      <c r="F242" s="19"/>
      <c r="G242" s="19">
        <v>470</v>
      </c>
      <c r="H242" s="19">
        <v>9.3</v>
      </c>
      <c r="I242" s="19" t="s">
        <v>480</v>
      </c>
      <c r="J242" s="19" t="s">
        <v>481</v>
      </c>
      <c r="K242" s="19" t="b">
        <v>1</v>
      </c>
      <c r="L242" s="15">
        <v>2019</v>
      </c>
      <c r="M242" s="16">
        <v>0.0453</v>
      </c>
      <c r="N242" s="20">
        <v>41443</v>
      </c>
      <c r="O242" s="20">
        <v>41443</v>
      </c>
    </row>
    <row r="243" spans="1:15" ht="14.25">
      <c r="A243" s="17">
        <v>2013</v>
      </c>
      <c r="B243" s="18" t="s">
        <v>473</v>
      </c>
      <c r="C243" s="18" t="s">
        <v>474</v>
      </c>
      <c r="D243" s="19">
        <v>1008042</v>
      </c>
      <c r="E243" s="19">
        <v>2</v>
      </c>
      <c r="F243" s="19"/>
      <c r="G243" s="19">
        <v>50</v>
      </c>
      <c r="H243" s="19" t="s">
        <v>52</v>
      </c>
      <c r="I243" s="19"/>
      <c r="J243" s="19" t="s">
        <v>53</v>
      </c>
      <c r="K243" s="19" t="b">
        <v>1</v>
      </c>
      <c r="L243" s="15">
        <v>2020</v>
      </c>
      <c r="M243" s="16">
        <v>5805433.81</v>
      </c>
      <c r="N243" s="20">
        <v>41443</v>
      </c>
      <c r="O243" s="20">
        <v>41443</v>
      </c>
    </row>
    <row r="244" spans="1:15" ht="14.25">
      <c r="A244" s="17">
        <v>2013</v>
      </c>
      <c r="B244" s="18" t="s">
        <v>473</v>
      </c>
      <c r="C244" s="18" t="s">
        <v>474</v>
      </c>
      <c r="D244" s="19">
        <v>1008042</v>
      </c>
      <c r="E244" s="19">
        <v>2</v>
      </c>
      <c r="F244" s="19"/>
      <c r="G244" s="19">
        <v>580</v>
      </c>
      <c r="H244" s="19">
        <v>11.1</v>
      </c>
      <c r="I244" s="19"/>
      <c r="J244" s="19" t="s">
        <v>118</v>
      </c>
      <c r="K244" s="19" t="b">
        <v>0</v>
      </c>
      <c r="L244" s="15">
        <v>2018</v>
      </c>
      <c r="M244" s="16">
        <v>11284866.97</v>
      </c>
      <c r="N244" s="20">
        <v>41443</v>
      </c>
      <c r="O244" s="20">
        <v>41443</v>
      </c>
    </row>
    <row r="245" spans="1:15" ht="14.25">
      <c r="A245" s="17">
        <v>2013</v>
      </c>
      <c r="B245" s="18" t="s">
        <v>473</v>
      </c>
      <c r="C245" s="18" t="s">
        <v>474</v>
      </c>
      <c r="D245" s="19">
        <v>1008042</v>
      </c>
      <c r="E245" s="19">
        <v>2</v>
      </c>
      <c r="F245" s="19"/>
      <c r="G245" s="19">
        <v>300</v>
      </c>
      <c r="H245" s="19">
        <v>5</v>
      </c>
      <c r="I245" s="19" t="s">
        <v>484</v>
      </c>
      <c r="J245" s="19" t="s">
        <v>87</v>
      </c>
      <c r="K245" s="19" t="b">
        <v>0</v>
      </c>
      <c r="L245" s="15">
        <v>2019</v>
      </c>
      <c r="M245" s="16">
        <v>1000000</v>
      </c>
      <c r="N245" s="20">
        <v>41443</v>
      </c>
      <c r="O245" s="20">
        <v>41443</v>
      </c>
    </row>
    <row r="246" spans="1:15" ht="14.25">
      <c r="A246" s="17">
        <v>2013</v>
      </c>
      <c r="B246" s="18" t="s">
        <v>473</v>
      </c>
      <c r="C246" s="18" t="s">
        <v>474</v>
      </c>
      <c r="D246" s="19">
        <v>1008042</v>
      </c>
      <c r="E246" s="19">
        <v>2</v>
      </c>
      <c r="F246" s="19"/>
      <c r="G246" s="19">
        <v>500</v>
      </c>
      <c r="H246" s="19">
        <v>9.6</v>
      </c>
      <c r="I246" s="19" t="s">
        <v>485</v>
      </c>
      <c r="J246" s="19" t="s">
        <v>106</v>
      </c>
      <c r="K246" s="19" t="b">
        <v>0</v>
      </c>
      <c r="L246" s="15">
        <v>2019</v>
      </c>
      <c r="M246" s="16">
        <v>0.0453</v>
      </c>
      <c r="N246" s="20">
        <v>41443</v>
      </c>
      <c r="O246" s="20">
        <v>41443</v>
      </c>
    </row>
    <row r="247" spans="1:15" ht="14.25">
      <c r="A247" s="17">
        <v>2013</v>
      </c>
      <c r="B247" s="18" t="s">
        <v>473</v>
      </c>
      <c r="C247" s="18" t="s">
        <v>474</v>
      </c>
      <c r="D247" s="19">
        <v>1008042</v>
      </c>
      <c r="E247" s="19">
        <v>2</v>
      </c>
      <c r="F247" s="19"/>
      <c r="G247" s="19">
        <v>310</v>
      </c>
      <c r="H247" s="19">
        <v>5.1</v>
      </c>
      <c r="I247" s="19"/>
      <c r="J247" s="19" t="s">
        <v>88</v>
      </c>
      <c r="K247" s="19" t="b">
        <v>1</v>
      </c>
      <c r="L247" s="15">
        <v>2017</v>
      </c>
      <c r="M247" s="16">
        <v>1150000</v>
      </c>
      <c r="N247" s="20">
        <v>41443</v>
      </c>
      <c r="O247" s="20">
        <v>41443</v>
      </c>
    </row>
    <row r="248" spans="1:15" ht="14.25">
      <c r="A248" s="17">
        <v>2013</v>
      </c>
      <c r="B248" s="18" t="s">
        <v>473</v>
      </c>
      <c r="C248" s="18" t="s">
        <v>474</v>
      </c>
      <c r="D248" s="19">
        <v>1008042</v>
      </c>
      <c r="E248" s="19">
        <v>2</v>
      </c>
      <c r="F248" s="19"/>
      <c r="G248" s="19">
        <v>640</v>
      </c>
      <c r="H248" s="19">
        <v>11.5</v>
      </c>
      <c r="I248" s="19"/>
      <c r="J248" s="19" t="s">
        <v>126</v>
      </c>
      <c r="K248" s="19" t="b">
        <v>1</v>
      </c>
      <c r="L248" s="15">
        <v>2019</v>
      </c>
      <c r="M248" s="16">
        <v>1541115.87</v>
      </c>
      <c r="N248" s="20">
        <v>41443</v>
      </c>
      <c r="O248" s="20">
        <v>41443</v>
      </c>
    </row>
    <row r="249" spans="1:15" ht="14.25">
      <c r="A249" s="17">
        <v>2013</v>
      </c>
      <c r="B249" s="18" t="s">
        <v>473</v>
      </c>
      <c r="C249" s="18" t="s">
        <v>474</v>
      </c>
      <c r="D249" s="19">
        <v>1008042</v>
      </c>
      <c r="E249" s="19">
        <v>2</v>
      </c>
      <c r="F249" s="19"/>
      <c r="G249" s="19">
        <v>10</v>
      </c>
      <c r="H249" s="19">
        <v>1</v>
      </c>
      <c r="I249" s="19" t="s">
        <v>492</v>
      </c>
      <c r="J249" s="19" t="s">
        <v>26</v>
      </c>
      <c r="K249" s="19" t="b">
        <v>1</v>
      </c>
      <c r="L249" s="15">
        <v>2018</v>
      </c>
      <c r="M249" s="16">
        <v>24015908.89</v>
      </c>
      <c r="N249" s="20">
        <v>41443</v>
      </c>
      <c r="O249" s="20">
        <v>41443</v>
      </c>
    </row>
    <row r="250" spans="1:15" ht="14.25">
      <c r="A250" s="17">
        <v>2013</v>
      </c>
      <c r="B250" s="18" t="s">
        <v>473</v>
      </c>
      <c r="C250" s="18" t="s">
        <v>474</v>
      </c>
      <c r="D250" s="19">
        <v>1008042</v>
      </c>
      <c r="E250" s="19">
        <v>2</v>
      </c>
      <c r="F250" s="19"/>
      <c r="G250" s="19">
        <v>505</v>
      </c>
      <c r="H250" s="19" t="s">
        <v>107</v>
      </c>
      <c r="I250" s="19" t="s">
        <v>478</v>
      </c>
      <c r="J250" s="19" t="s">
        <v>108</v>
      </c>
      <c r="K250" s="19" t="b">
        <v>0</v>
      </c>
      <c r="L250" s="15">
        <v>2018</v>
      </c>
      <c r="M250" s="16">
        <v>0.0992</v>
      </c>
      <c r="N250" s="20">
        <v>41443</v>
      </c>
      <c r="O250" s="20">
        <v>41443</v>
      </c>
    </row>
    <row r="251" spans="1:15" ht="14.25">
      <c r="A251" s="17">
        <v>2013</v>
      </c>
      <c r="B251" s="18" t="s">
        <v>473</v>
      </c>
      <c r="C251" s="18" t="s">
        <v>474</v>
      </c>
      <c r="D251" s="19">
        <v>1008042</v>
      </c>
      <c r="E251" s="19">
        <v>2</v>
      </c>
      <c r="F251" s="19"/>
      <c r="G251" s="19">
        <v>550</v>
      </c>
      <c r="H251" s="19">
        <v>10</v>
      </c>
      <c r="I251" s="19"/>
      <c r="J251" s="19" t="s">
        <v>115</v>
      </c>
      <c r="K251" s="19" t="b">
        <v>0</v>
      </c>
      <c r="L251" s="15">
        <v>2020</v>
      </c>
      <c r="M251" s="16">
        <v>249496.46</v>
      </c>
      <c r="N251" s="20">
        <v>41443</v>
      </c>
      <c r="O251" s="20">
        <v>41443</v>
      </c>
    </row>
    <row r="252" spans="1:15" ht="14.25">
      <c r="A252" s="17">
        <v>2013</v>
      </c>
      <c r="B252" s="18" t="s">
        <v>473</v>
      </c>
      <c r="C252" s="18" t="s">
        <v>474</v>
      </c>
      <c r="D252" s="19">
        <v>1008042</v>
      </c>
      <c r="E252" s="19">
        <v>2</v>
      </c>
      <c r="F252" s="19"/>
      <c r="G252" s="19">
        <v>510</v>
      </c>
      <c r="H252" s="19">
        <v>9.7</v>
      </c>
      <c r="I252" s="19"/>
      <c r="J252" s="19" t="s">
        <v>482</v>
      </c>
      <c r="K252" s="19" t="b">
        <v>1</v>
      </c>
      <c r="L252" s="15">
        <v>2019</v>
      </c>
      <c r="M252" s="16">
        <v>0.0983</v>
      </c>
      <c r="N252" s="20">
        <v>41443</v>
      </c>
      <c r="O252" s="20">
        <v>41443</v>
      </c>
    </row>
    <row r="253" spans="1:15" ht="14.25">
      <c r="A253" s="17">
        <v>2013</v>
      </c>
      <c r="B253" s="18" t="s">
        <v>473</v>
      </c>
      <c r="C253" s="18" t="s">
        <v>474</v>
      </c>
      <c r="D253" s="19">
        <v>1008042</v>
      </c>
      <c r="E253" s="19">
        <v>2</v>
      </c>
      <c r="F253" s="19"/>
      <c r="G253" s="19">
        <v>450</v>
      </c>
      <c r="H253" s="19">
        <v>9.1</v>
      </c>
      <c r="I253" s="19" t="s">
        <v>480</v>
      </c>
      <c r="J253" s="19" t="s">
        <v>102</v>
      </c>
      <c r="K253" s="19" t="b">
        <v>1</v>
      </c>
      <c r="L253" s="15">
        <v>2018</v>
      </c>
      <c r="M253" s="16">
        <v>0.0555</v>
      </c>
      <c r="N253" s="20">
        <v>41443</v>
      </c>
      <c r="O253" s="20">
        <v>41443</v>
      </c>
    </row>
    <row r="254" spans="1:15" ht="14.25">
      <c r="A254" s="17">
        <v>2013</v>
      </c>
      <c r="B254" s="18" t="s">
        <v>473</v>
      </c>
      <c r="C254" s="18" t="s">
        <v>474</v>
      </c>
      <c r="D254" s="19">
        <v>1008042</v>
      </c>
      <c r="E254" s="19">
        <v>2</v>
      </c>
      <c r="F254" s="19"/>
      <c r="G254" s="19">
        <v>560</v>
      </c>
      <c r="H254" s="19">
        <v>10.1</v>
      </c>
      <c r="I254" s="19"/>
      <c r="J254" s="19" t="s">
        <v>116</v>
      </c>
      <c r="K254" s="19" t="b">
        <v>0</v>
      </c>
      <c r="L254" s="15">
        <v>2020</v>
      </c>
      <c r="M254" s="16">
        <v>249496.46</v>
      </c>
      <c r="N254" s="20">
        <v>41443</v>
      </c>
      <c r="O254" s="20">
        <v>41443</v>
      </c>
    </row>
    <row r="255" spans="1:15" ht="14.25">
      <c r="A255" s="17">
        <v>2013</v>
      </c>
      <c r="B255" s="18" t="s">
        <v>473</v>
      </c>
      <c r="C255" s="18" t="s">
        <v>474</v>
      </c>
      <c r="D255" s="19">
        <v>1008042</v>
      </c>
      <c r="E255" s="19">
        <v>2</v>
      </c>
      <c r="F255" s="19"/>
      <c r="G255" s="19">
        <v>530</v>
      </c>
      <c r="H255" s="19">
        <v>9.8</v>
      </c>
      <c r="I255" s="19" t="s">
        <v>488</v>
      </c>
      <c r="J255" s="19" t="s">
        <v>112</v>
      </c>
      <c r="K255" s="19" t="b">
        <v>0</v>
      </c>
      <c r="L255" s="15">
        <v>2016</v>
      </c>
      <c r="M255" s="16">
        <v>131</v>
      </c>
      <c r="N255" s="20">
        <v>41443</v>
      </c>
      <c r="O255" s="20">
        <v>41443</v>
      </c>
    </row>
    <row r="256" spans="1:15" ht="14.25">
      <c r="A256" s="17">
        <v>2013</v>
      </c>
      <c r="B256" s="18" t="s">
        <v>473</v>
      </c>
      <c r="C256" s="18" t="s">
        <v>474</v>
      </c>
      <c r="D256" s="19">
        <v>1008042</v>
      </c>
      <c r="E256" s="19">
        <v>2</v>
      </c>
      <c r="F256" s="19"/>
      <c r="G256" s="19">
        <v>180</v>
      </c>
      <c r="H256" s="19" t="s">
        <v>74</v>
      </c>
      <c r="I256" s="19"/>
      <c r="J256" s="19" t="s">
        <v>75</v>
      </c>
      <c r="K256" s="19" t="b">
        <v>0</v>
      </c>
      <c r="L256" s="15">
        <v>2014</v>
      </c>
      <c r="M256" s="16">
        <v>350000</v>
      </c>
      <c r="N256" s="20">
        <v>41443</v>
      </c>
      <c r="O256" s="20">
        <v>41443</v>
      </c>
    </row>
    <row r="257" spans="1:15" ht="14.25">
      <c r="A257" s="17">
        <v>2013</v>
      </c>
      <c r="B257" s="18" t="s">
        <v>473</v>
      </c>
      <c r="C257" s="18" t="s">
        <v>474</v>
      </c>
      <c r="D257" s="19">
        <v>1008042</v>
      </c>
      <c r="E257" s="19">
        <v>2</v>
      </c>
      <c r="F257" s="19"/>
      <c r="G257" s="19">
        <v>540</v>
      </c>
      <c r="H257" s="19" t="s">
        <v>113</v>
      </c>
      <c r="I257" s="19" t="s">
        <v>491</v>
      </c>
      <c r="J257" s="19" t="s">
        <v>114</v>
      </c>
      <c r="K257" s="19" t="b">
        <v>0</v>
      </c>
      <c r="L257" s="15">
        <v>2017</v>
      </c>
      <c r="M257" s="16">
        <v>288</v>
      </c>
      <c r="N257" s="20">
        <v>41443</v>
      </c>
      <c r="O257" s="20">
        <v>41443</v>
      </c>
    </row>
    <row r="258" spans="1:15" ht="14.25">
      <c r="A258" s="17">
        <v>2013</v>
      </c>
      <c r="B258" s="18" t="s">
        <v>473</v>
      </c>
      <c r="C258" s="18" t="s">
        <v>474</v>
      </c>
      <c r="D258" s="19">
        <v>1008042</v>
      </c>
      <c r="E258" s="19">
        <v>2</v>
      </c>
      <c r="F258" s="19"/>
      <c r="G258" s="19">
        <v>350</v>
      </c>
      <c r="H258" s="19">
        <v>6</v>
      </c>
      <c r="I258" s="19"/>
      <c r="J258" s="19" t="s">
        <v>27</v>
      </c>
      <c r="K258" s="19" t="b">
        <v>1</v>
      </c>
      <c r="L258" s="15">
        <v>2016</v>
      </c>
      <c r="M258" s="16">
        <v>3523417.46</v>
      </c>
      <c r="N258" s="20">
        <v>41443</v>
      </c>
      <c r="O258" s="20">
        <v>41443</v>
      </c>
    </row>
    <row r="259" spans="1:15" ht="14.25">
      <c r="A259" s="17">
        <v>2013</v>
      </c>
      <c r="B259" s="18" t="s">
        <v>473</v>
      </c>
      <c r="C259" s="18" t="s">
        <v>474</v>
      </c>
      <c r="D259" s="19">
        <v>1008042</v>
      </c>
      <c r="E259" s="19">
        <v>2</v>
      </c>
      <c r="F259" s="19"/>
      <c r="G259" s="19">
        <v>430</v>
      </c>
      <c r="H259" s="19">
        <v>8.2</v>
      </c>
      <c r="I259" s="19" t="s">
        <v>490</v>
      </c>
      <c r="J259" s="19" t="s">
        <v>101</v>
      </c>
      <c r="K259" s="19" t="b">
        <v>0</v>
      </c>
      <c r="L259" s="15">
        <v>2017</v>
      </c>
      <c r="M259" s="16">
        <v>2274026.25</v>
      </c>
      <c r="N259" s="20">
        <v>41443</v>
      </c>
      <c r="O259" s="20">
        <v>41443</v>
      </c>
    </row>
    <row r="260" spans="1:15" ht="14.25">
      <c r="A260" s="17">
        <v>2013</v>
      </c>
      <c r="B260" s="18" t="s">
        <v>473</v>
      </c>
      <c r="C260" s="18" t="s">
        <v>474</v>
      </c>
      <c r="D260" s="19">
        <v>1008042</v>
      </c>
      <c r="E260" s="19">
        <v>2</v>
      </c>
      <c r="F260" s="19"/>
      <c r="G260" s="19">
        <v>430</v>
      </c>
      <c r="H260" s="19">
        <v>8.2</v>
      </c>
      <c r="I260" s="19" t="s">
        <v>490</v>
      </c>
      <c r="J260" s="19" t="s">
        <v>101</v>
      </c>
      <c r="K260" s="19" t="b">
        <v>0</v>
      </c>
      <c r="L260" s="15">
        <v>2014</v>
      </c>
      <c r="M260" s="16">
        <v>1537298.3</v>
      </c>
      <c r="N260" s="20">
        <v>41443</v>
      </c>
      <c r="O260" s="20">
        <v>41443</v>
      </c>
    </row>
    <row r="261" spans="1:15" ht="14.25">
      <c r="A261" s="17">
        <v>2013</v>
      </c>
      <c r="B261" s="18" t="s">
        <v>473</v>
      </c>
      <c r="C261" s="18" t="s">
        <v>474</v>
      </c>
      <c r="D261" s="19">
        <v>1008042</v>
      </c>
      <c r="E261" s="19">
        <v>2</v>
      </c>
      <c r="F261" s="19"/>
      <c r="G261" s="19">
        <v>640</v>
      </c>
      <c r="H261" s="19">
        <v>11.5</v>
      </c>
      <c r="I261" s="19"/>
      <c r="J261" s="19" t="s">
        <v>126</v>
      </c>
      <c r="K261" s="19" t="b">
        <v>1</v>
      </c>
      <c r="L261" s="15">
        <v>2018</v>
      </c>
      <c r="M261" s="16">
        <v>1257551.86</v>
      </c>
      <c r="N261" s="20">
        <v>41443</v>
      </c>
      <c r="O261" s="20">
        <v>41443</v>
      </c>
    </row>
    <row r="262" spans="1:15" ht="14.25">
      <c r="A262" s="17">
        <v>2013</v>
      </c>
      <c r="B262" s="18" t="s">
        <v>473</v>
      </c>
      <c r="C262" s="18" t="s">
        <v>474</v>
      </c>
      <c r="D262" s="19">
        <v>1008042</v>
      </c>
      <c r="E262" s="19">
        <v>2</v>
      </c>
      <c r="F262" s="19"/>
      <c r="G262" s="19">
        <v>640</v>
      </c>
      <c r="H262" s="19">
        <v>11.5</v>
      </c>
      <c r="I262" s="19"/>
      <c r="J262" s="19" t="s">
        <v>126</v>
      </c>
      <c r="K262" s="19" t="b">
        <v>1</v>
      </c>
      <c r="L262" s="15">
        <v>2020</v>
      </c>
      <c r="M262" s="16">
        <v>2383511.51</v>
      </c>
      <c r="N262" s="20">
        <v>41443</v>
      </c>
      <c r="O262" s="20">
        <v>41443</v>
      </c>
    </row>
    <row r="263" spans="1:15" ht="14.25">
      <c r="A263" s="17">
        <v>2013</v>
      </c>
      <c r="B263" s="18" t="s">
        <v>473</v>
      </c>
      <c r="C263" s="18" t="s">
        <v>474</v>
      </c>
      <c r="D263" s="19">
        <v>1008042</v>
      </c>
      <c r="E263" s="19">
        <v>2</v>
      </c>
      <c r="F263" s="19"/>
      <c r="G263" s="19">
        <v>200</v>
      </c>
      <c r="H263" s="19">
        <v>3</v>
      </c>
      <c r="I263" s="19" t="s">
        <v>489</v>
      </c>
      <c r="J263" s="19" t="s">
        <v>23</v>
      </c>
      <c r="K263" s="19" t="b">
        <v>0</v>
      </c>
      <c r="L263" s="15">
        <v>2018</v>
      </c>
      <c r="M263" s="16">
        <v>1123921</v>
      </c>
      <c r="N263" s="20">
        <v>41443</v>
      </c>
      <c r="O263" s="20">
        <v>41443</v>
      </c>
    </row>
    <row r="264" spans="1:15" ht="14.25">
      <c r="A264" s="17">
        <v>2013</v>
      </c>
      <c r="B264" s="18" t="s">
        <v>473</v>
      </c>
      <c r="C264" s="18" t="s">
        <v>474</v>
      </c>
      <c r="D264" s="19">
        <v>1008042</v>
      </c>
      <c r="E264" s="19">
        <v>2</v>
      </c>
      <c r="F264" s="19"/>
      <c r="G264" s="19">
        <v>80</v>
      </c>
      <c r="H264" s="19" t="s">
        <v>58</v>
      </c>
      <c r="I264" s="19"/>
      <c r="J264" s="19" t="s">
        <v>59</v>
      </c>
      <c r="K264" s="19" t="b">
        <v>1</v>
      </c>
      <c r="L264" s="15">
        <v>2018</v>
      </c>
      <c r="M264" s="16">
        <v>2686932.9</v>
      </c>
      <c r="N264" s="20">
        <v>41443</v>
      </c>
      <c r="O264" s="20">
        <v>41443</v>
      </c>
    </row>
    <row r="265" spans="1:15" ht="14.25">
      <c r="A265" s="17">
        <v>2013</v>
      </c>
      <c r="B265" s="18" t="s">
        <v>473</v>
      </c>
      <c r="C265" s="18" t="s">
        <v>474</v>
      </c>
      <c r="D265" s="19">
        <v>1008042</v>
      </c>
      <c r="E265" s="19">
        <v>2</v>
      </c>
      <c r="F265" s="19"/>
      <c r="G265" s="19">
        <v>40</v>
      </c>
      <c r="H265" s="19" t="s">
        <v>50</v>
      </c>
      <c r="I265" s="19"/>
      <c r="J265" s="19" t="s">
        <v>51</v>
      </c>
      <c r="K265" s="19" t="b">
        <v>1</v>
      </c>
      <c r="L265" s="15">
        <v>2016</v>
      </c>
      <c r="M265" s="16">
        <v>61392.36</v>
      </c>
      <c r="N265" s="20">
        <v>41443</v>
      </c>
      <c r="O265" s="20">
        <v>41443</v>
      </c>
    </row>
    <row r="266" spans="1:15" ht="14.25">
      <c r="A266" s="17">
        <v>2013</v>
      </c>
      <c r="B266" s="18" t="s">
        <v>473</v>
      </c>
      <c r="C266" s="18" t="s">
        <v>474</v>
      </c>
      <c r="D266" s="19">
        <v>1008042</v>
      </c>
      <c r="E266" s="19">
        <v>2</v>
      </c>
      <c r="F266" s="19"/>
      <c r="G266" s="19">
        <v>500</v>
      </c>
      <c r="H266" s="19">
        <v>9.6</v>
      </c>
      <c r="I266" s="19" t="s">
        <v>485</v>
      </c>
      <c r="J266" s="19" t="s">
        <v>106</v>
      </c>
      <c r="K266" s="19" t="b">
        <v>0</v>
      </c>
      <c r="L266" s="15">
        <v>2017</v>
      </c>
      <c r="M266" s="16">
        <v>0.0601</v>
      </c>
      <c r="N266" s="20">
        <v>41443</v>
      </c>
      <c r="O266" s="20">
        <v>41443</v>
      </c>
    </row>
    <row r="267" spans="1:15" ht="14.25">
      <c r="A267" s="17">
        <v>2013</v>
      </c>
      <c r="B267" s="18" t="s">
        <v>473</v>
      </c>
      <c r="C267" s="18" t="s">
        <v>474</v>
      </c>
      <c r="D267" s="19">
        <v>1008042</v>
      </c>
      <c r="E267" s="19">
        <v>2</v>
      </c>
      <c r="F267" s="19"/>
      <c r="G267" s="19">
        <v>40</v>
      </c>
      <c r="H267" s="19" t="s">
        <v>50</v>
      </c>
      <c r="I267" s="19"/>
      <c r="J267" s="19" t="s">
        <v>51</v>
      </c>
      <c r="K267" s="19" t="b">
        <v>1</v>
      </c>
      <c r="L267" s="15">
        <v>2017</v>
      </c>
      <c r="M267" s="16">
        <v>63786.66</v>
      </c>
      <c r="N267" s="20">
        <v>41443</v>
      </c>
      <c r="O267" s="20">
        <v>41443</v>
      </c>
    </row>
    <row r="268" spans="1:15" ht="14.25">
      <c r="A268" s="17">
        <v>2013</v>
      </c>
      <c r="B268" s="18" t="s">
        <v>473</v>
      </c>
      <c r="C268" s="18" t="s">
        <v>474</v>
      </c>
      <c r="D268" s="19">
        <v>1008042</v>
      </c>
      <c r="E268" s="19">
        <v>2</v>
      </c>
      <c r="F268" s="19"/>
      <c r="G268" s="19">
        <v>460</v>
      </c>
      <c r="H268" s="19">
        <v>9.2</v>
      </c>
      <c r="I268" s="19" t="s">
        <v>479</v>
      </c>
      <c r="J268" s="19" t="s">
        <v>103</v>
      </c>
      <c r="K268" s="19" t="b">
        <v>0</v>
      </c>
      <c r="L268" s="15">
        <v>2018</v>
      </c>
      <c r="M268" s="16">
        <v>0.0555</v>
      </c>
      <c r="N268" s="20">
        <v>41443</v>
      </c>
      <c r="O268" s="20">
        <v>41443</v>
      </c>
    </row>
    <row r="269" spans="1:15" ht="14.25">
      <c r="A269" s="17">
        <v>2013</v>
      </c>
      <c r="B269" s="18" t="s">
        <v>473</v>
      </c>
      <c r="C269" s="18" t="s">
        <v>474</v>
      </c>
      <c r="D269" s="19">
        <v>1008042</v>
      </c>
      <c r="E269" s="19">
        <v>2</v>
      </c>
      <c r="F269" s="19"/>
      <c r="G269" s="19">
        <v>300</v>
      </c>
      <c r="H269" s="19">
        <v>5</v>
      </c>
      <c r="I269" s="19" t="s">
        <v>484</v>
      </c>
      <c r="J269" s="19" t="s">
        <v>87</v>
      </c>
      <c r="K269" s="19" t="b">
        <v>0</v>
      </c>
      <c r="L269" s="15">
        <v>2014</v>
      </c>
      <c r="M269" s="16">
        <v>694000</v>
      </c>
      <c r="N269" s="20">
        <v>41443</v>
      </c>
      <c r="O269" s="20">
        <v>41443</v>
      </c>
    </row>
    <row r="270" spans="1:15" ht="14.25">
      <c r="A270" s="17">
        <v>2013</v>
      </c>
      <c r="B270" s="18" t="s">
        <v>473</v>
      </c>
      <c r="C270" s="18" t="s">
        <v>474</v>
      </c>
      <c r="D270" s="19">
        <v>1008042</v>
      </c>
      <c r="E270" s="19">
        <v>2</v>
      </c>
      <c r="F270" s="19"/>
      <c r="G270" s="19">
        <v>580</v>
      </c>
      <c r="H270" s="19">
        <v>11.1</v>
      </c>
      <c r="I270" s="19"/>
      <c r="J270" s="19" t="s">
        <v>118</v>
      </c>
      <c r="K270" s="19" t="b">
        <v>0</v>
      </c>
      <c r="L270" s="15">
        <v>2019</v>
      </c>
      <c r="M270" s="16">
        <v>11736261.65</v>
      </c>
      <c r="N270" s="20">
        <v>41443</v>
      </c>
      <c r="O270" s="20">
        <v>41443</v>
      </c>
    </row>
    <row r="271" spans="1:15" ht="14.25">
      <c r="A271" s="17">
        <v>2013</v>
      </c>
      <c r="B271" s="18" t="s">
        <v>473</v>
      </c>
      <c r="C271" s="18" t="s">
        <v>474</v>
      </c>
      <c r="D271" s="19">
        <v>1008042</v>
      </c>
      <c r="E271" s="19">
        <v>2</v>
      </c>
      <c r="F271" s="19"/>
      <c r="G271" s="19">
        <v>460</v>
      </c>
      <c r="H271" s="19">
        <v>9.2</v>
      </c>
      <c r="I271" s="19" t="s">
        <v>479</v>
      </c>
      <c r="J271" s="19" t="s">
        <v>103</v>
      </c>
      <c r="K271" s="19" t="b">
        <v>0</v>
      </c>
      <c r="L271" s="15">
        <v>2016</v>
      </c>
      <c r="M271" s="16">
        <v>0.0593</v>
      </c>
      <c r="N271" s="20">
        <v>41443</v>
      </c>
      <c r="O271" s="20">
        <v>41443</v>
      </c>
    </row>
    <row r="272" spans="1:15" ht="14.25">
      <c r="A272" s="17">
        <v>2013</v>
      </c>
      <c r="B272" s="18" t="s">
        <v>473</v>
      </c>
      <c r="C272" s="18" t="s">
        <v>474</v>
      </c>
      <c r="D272" s="19">
        <v>1008042</v>
      </c>
      <c r="E272" s="19">
        <v>2</v>
      </c>
      <c r="F272" s="19"/>
      <c r="G272" s="19">
        <v>10</v>
      </c>
      <c r="H272" s="19">
        <v>1</v>
      </c>
      <c r="I272" s="19" t="s">
        <v>492</v>
      </c>
      <c r="J272" s="19" t="s">
        <v>26</v>
      </c>
      <c r="K272" s="19" t="b">
        <v>1</v>
      </c>
      <c r="L272" s="15">
        <v>2020</v>
      </c>
      <c r="M272" s="16">
        <v>25925677.98</v>
      </c>
      <c r="N272" s="20">
        <v>41443</v>
      </c>
      <c r="O272" s="20">
        <v>41443</v>
      </c>
    </row>
    <row r="273" spans="1:15" ht="14.25">
      <c r="A273" s="17">
        <v>2013</v>
      </c>
      <c r="B273" s="18" t="s">
        <v>473</v>
      </c>
      <c r="C273" s="18" t="s">
        <v>474</v>
      </c>
      <c r="D273" s="19">
        <v>1008042</v>
      </c>
      <c r="E273" s="19">
        <v>2</v>
      </c>
      <c r="F273" s="19"/>
      <c r="G273" s="19">
        <v>380</v>
      </c>
      <c r="H273" s="19">
        <v>6.2</v>
      </c>
      <c r="I273" s="19" t="s">
        <v>477</v>
      </c>
      <c r="J273" s="19" t="s">
        <v>97</v>
      </c>
      <c r="K273" s="19" t="b">
        <v>0</v>
      </c>
      <c r="L273" s="15">
        <v>2019</v>
      </c>
      <c r="M273" s="16">
        <v>0.01</v>
      </c>
      <c r="N273" s="20">
        <v>41443</v>
      </c>
      <c r="O273" s="20">
        <v>41443</v>
      </c>
    </row>
    <row r="274" spans="1:15" ht="14.25">
      <c r="A274" s="17">
        <v>2013</v>
      </c>
      <c r="B274" s="18" t="s">
        <v>473</v>
      </c>
      <c r="C274" s="18" t="s">
        <v>474</v>
      </c>
      <c r="D274" s="19">
        <v>1008042</v>
      </c>
      <c r="E274" s="19">
        <v>2</v>
      </c>
      <c r="F274" s="19"/>
      <c r="G274" s="19">
        <v>130</v>
      </c>
      <c r="H274" s="19">
        <v>2.1</v>
      </c>
      <c r="I274" s="19"/>
      <c r="J274" s="19" t="s">
        <v>65</v>
      </c>
      <c r="K274" s="19" t="b">
        <v>1</v>
      </c>
      <c r="L274" s="15">
        <v>2020</v>
      </c>
      <c r="M274" s="16">
        <v>23292670.01</v>
      </c>
      <c r="N274" s="20">
        <v>41443</v>
      </c>
      <c r="O274" s="20">
        <v>41443</v>
      </c>
    </row>
    <row r="275" spans="1:15" ht="14.25">
      <c r="A275" s="17">
        <v>2013</v>
      </c>
      <c r="B275" s="18" t="s">
        <v>473</v>
      </c>
      <c r="C275" s="18" t="s">
        <v>474</v>
      </c>
      <c r="D275" s="19">
        <v>1008042</v>
      </c>
      <c r="E275" s="19">
        <v>2</v>
      </c>
      <c r="F275" s="19"/>
      <c r="G275" s="19">
        <v>200</v>
      </c>
      <c r="H275" s="19">
        <v>3</v>
      </c>
      <c r="I275" s="19" t="s">
        <v>489</v>
      </c>
      <c r="J275" s="19" t="s">
        <v>23</v>
      </c>
      <c r="K275" s="19" t="b">
        <v>0</v>
      </c>
      <c r="L275" s="15">
        <v>2016</v>
      </c>
      <c r="M275" s="16">
        <v>1050000</v>
      </c>
      <c r="N275" s="20">
        <v>41443</v>
      </c>
      <c r="O275" s="20">
        <v>41443</v>
      </c>
    </row>
    <row r="276" spans="1:15" ht="14.25">
      <c r="A276" s="17">
        <v>2013</v>
      </c>
      <c r="B276" s="18" t="s">
        <v>473</v>
      </c>
      <c r="C276" s="18" t="s">
        <v>474</v>
      </c>
      <c r="D276" s="19">
        <v>1008042</v>
      </c>
      <c r="E276" s="19">
        <v>2</v>
      </c>
      <c r="F276" s="19"/>
      <c r="G276" s="19">
        <v>540</v>
      </c>
      <c r="H276" s="19" t="s">
        <v>113</v>
      </c>
      <c r="I276" s="19" t="s">
        <v>491</v>
      </c>
      <c r="J276" s="19" t="s">
        <v>114</v>
      </c>
      <c r="K276" s="19" t="b">
        <v>0</v>
      </c>
      <c r="L276" s="15">
        <v>2016</v>
      </c>
      <c r="M276" s="16">
        <v>131</v>
      </c>
      <c r="N276" s="20">
        <v>41443</v>
      </c>
      <c r="O276" s="20">
        <v>41443</v>
      </c>
    </row>
    <row r="277" spans="1:15" ht="14.25">
      <c r="A277" s="17">
        <v>2013</v>
      </c>
      <c r="B277" s="18" t="s">
        <v>473</v>
      </c>
      <c r="C277" s="18" t="s">
        <v>474</v>
      </c>
      <c r="D277" s="19">
        <v>1008042</v>
      </c>
      <c r="E277" s="19">
        <v>2</v>
      </c>
      <c r="F277" s="19"/>
      <c r="G277" s="19">
        <v>740</v>
      </c>
      <c r="H277" s="19" t="s">
        <v>140</v>
      </c>
      <c r="I277" s="19"/>
      <c r="J277" s="19" t="s">
        <v>141</v>
      </c>
      <c r="K277" s="19" t="b">
        <v>0</v>
      </c>
      <c r="L277" s="15">
        <v>2014</v>
      </c>
      <c r="M277" s="16">
        <v>262214.96</v>
      </c>
      <c r="N277" s="20">
        <v>41443</v>
      </c>
      <c r="O277" s="20">
        <v>41443</v>
      </c>
    </row>
    <row r="278" spans="1:15" ht="14.25">
      <c r="A278" s="17">
        <v>2013</v>
      </c>
      <c r="B278" s="18" t="s">
        <v>473</v>
      </c>
      <c r="C278" s="18" t="s">
        <v>474</v>
      </c>
      <c r="D278" s="19">
        <v>1008042</v>
      </c>
      <c r="E278" s="19">
        <v>2</v>
      </c>
      <c r="F278" s="19"/>
      <c r="G278" s="19">
        <v>100</v>
      </c>
      <c r="H278" s="19" t="s">
        <v>61</v>
      </c>
      <c r="I278" s="19"/>
      <c r="J278" s="19" t="s">
        <v>62</v>
      </c>
      <c r="K278" s="19" t="b">
        <v>1</v>
      </c>
      <c r="L278" s="15">
        <v>2013</v>
      </c>
      <c r="M278" s="16">
        <v>45000</v>
      </c>
      <c r="N278" s="20">
        <v>41443</v>
      </c>
      <c r="O278" s="20">
        <v>41443</v>
      </c>
    </row>
    <row r="279" spans="1:15" ht="14.25">
      <c r="A279" s="17">
        <v>2013</v>
      </c>
      <c r="B279" s="18" t="s">
        <v>473</v>
      </c>
      <c r="C279" s="18" t="s">
        <v>474</v>
      </c>
      <c r="D279" s="19">
        <v>1008042</v>
      </c>
      <c r="E279" s="19">
        <v>2</v>
      </c>
      <c r="F279" s="19"/>
      <c r="G279" s="19">
        <v>540</v>
      </c>
      <c r="H279" s="19" t="s">
        <v>113</v>
      </c>
      <c r="I279" s="19" t="s">
        <v>491</v>
      </c>
      <c r="J279" s="19" t="s">
        <v>114</v>
      </c>
      <c r="K279" s="19" t="b">
        <v>0</v>
      </c>
      <c r="L279" s="15">
        <v>2013</v>
      </c>
      <c r="M279" s="16">
        <v>97</v>
      </c>
      <c r="N279" s="20">
        <v>41443</v>
      </c>
      <c r="O279" s="20">
        <v>41443</v>
      </c>
    </row>
    <row r="280" spans="1:15" ht="14.25">
      <c r="A280" s="17">
        <v>2013</v>
      </c>
      <c r="B280" s="18" t="s">
        <v>473</v>
      </c>
      <c r="C280" s="18" t="s">
        <v>474</v>
      </c>
      <c r="D280" s="19">
        <v>1008042</v>
      </c>
      <c r="E280" s="19">
        <v>2</v>
      </c>
      <c r="F280" s="19"/>
      <c r="G280" s="19">
        <v>740</v>
      </c>
      <c r="H280" s="19" t="s">
        <v>140</v>
      </c>
      <c r="I280" s="19"/>
      <c r="J280" s="19" t="s">
        <v>141</v>
      </c>
      <c r="K280" s="19" t="b">
        <v>0</v>
      </c>
      <c r="L280" s="15">
        <v>2015</v>
      </c>
      <c r="M280" s="16">
        <v>147383.61</v>
      </c>
      <c r="N280" s="20">
        <v>41443</v>
      </c>
      <c r="O280" s="20">
        <v>41443</v>
      </c>
    </row>
    <row r="281" spans="1:15" ht="14.25">
      <c r="A281" s="17">
        <v>2013</v>
      </c>
      <c r="B281" s="18" t="s">
        <v>473</v>
      </c>
      <c r="C281" s="18" t="s">
        <v>474</v>
      </c>
      <c r="D281" s="19">
        <v>1008042</v>
      </c>
      <c r="E281" s="19">
        <v>2</v>
      </c>
      <c r="F281" s="19"/>
      <c r="G281" s="19">
        <v>650</v>
      </c>
      <c r="H281" s="19">
        <v>11.6</v>
      </c>
      <c r="I281" s="19"/>
      <c r="J281" s="19" t="s">
        <v>127</v>
      </c>
      <c r="K281" s="19" t="b">
        <v>1</v>
      </c>
      <c r="L281" s="15">
        <v>2013</v>
      </c>
      <c r="M281" s="16">
        <v>105000</v>
      </c>
      <c r="N281" s="20">
        <v>41443</v>
      </c>
      <c r="O281" s="20">
        <v>41443</v>
      </c>
    </row>
    <row r="282" spans="1:15" ht="14.25">
      <c r="A282" s="17">
        <v>2013</v>
      </c>
      <c r="B282" s="18" t="s">
        <v>473</v>
      </c>
      <c r="C282" s="18" t="s">
        <v>474</v>
      </c>
      <c r="D282" s="19">
        <v>1008042</v>
      </c>
      <c r="E282" s="19">
        <v>2</v>
      </c>
      <c r="F282" s="19"/>
      <c r="G282" s="19">
        <v>510</v>
      </c>
      <c r="H282" s="19">
        <v>9.7</v>
      </c>
      <c r="I282" s="19"/>
      <c r="J282" s="19" t="s">
        <v>482</v>
      </c>
      <c r="K282" s="19" t="b">
        <v>1</v>
      </c>
      <c r="L282" s="15">
        <v>2016</v>
      </c>
      <c r="M282" s="16">
        <v>0.0724</v>
      </c>
      <c r="N282" s="20">
        <v>41443</v>
      </c>
      <c r="O282" s="20">
        <v>41443</v>
      </c>
    </row>
    <row r="283" spans="1:15" ht="14.25">
      <c r="A283" s="17">
        <v>2013</v>
      </c>
      <c r="B283" s="18" t="s">
        <v>473</v>
      </c>
      <c r="C283" s="18" t="s">
        <v>474</v>
      </c>
      <c r="D283" s="19">
        <v>1008042</v>
      </c>
      <c r="E283" s="19">
        <v>2</v>
      </c>
      <c r="F283" s="19"/>
      <c r="G283" s="19">
        <v>700</v>
      </c>
      <c r="H283" s="19">
        <v>12.2</v>
      </c>
      <c r="I283" s="19"/>
      <c r="J283" s="19" t="s">
        <v>134</v>
      </c>
      <c r="K283" s="19" t="b">
        <v>0</v>
      </c>
      <c r="L283" s="15">
        <v>2013</v>
      </c>
      <c r="M283" s="16">
        <v>196000</v>
      </c>
      <c r="N283" s="20">
        <v>41443</v>
      </c>
      <c r="O283" s="20">
        <v>41443</v>
      </c>
    </row>
    <row r="284" spans="1:15" ht="14.25">
      <c r="A284" s="17">
        <v>2013</v>
      </c>
      <c r="B284" s="18" t="s">
        <v>473</v>
      </c>
      <c r="C284" s="18" t="s">
        <v>474</v>
      </c>
      <c r="D284" s="19">
        <v>1008042</v>
      </c>
      <c r="E284" s="19">
        <v>2</v>
      </c>
      <c r="F284" s="19"/>
      <c r="G284" s="19">
        <v>170</v>
      </c>
      <c r="H284" s="19" t="s">
        <v>72</v>
      </c>
      <c r="I284" s="19"/>
      <c r="J284" s="19" t="s">
        <v>73</v>
      </c>
      <c r="K284" s="19" t="b">
        <v>1</v>
      </c>
      <c r="L284" s="15">
        <v>2018</v>
      </c>
      <c r="M284" s="16">
        <v>210000</v>
      </c>
      <c r="N284" s="20">
        <v>41443</v>
      </c>
      <c r="O284" s="20">
        <v>41443</v>
      </c>
    </row>
    <row r="285" spans="1:15" ht="14.25">
      <c r="A285" s="17">
        <v>2013</v>
      </c>
      <c r="B285" s="18" t="s">
        <v>473</v>
      </c>
      <c r="C285" s="18" t="s">
        <v>474</v>
      </c>
      <c r="D285" s="19">
        <v>1008042</v>
      </c>
      <c r="E285" s="19">
        <v>2</v>
      </c>
      <c r="F285" s="19"/>
      <c r="G285" s="19">
        <v>120</v>
      </c>
      <c r="H285" s="19">
        <v>2</v>
      </c>
      <c r="I285" s="19" t="s">
        <v>487</v>
      </c>
      <c r="J285" s="19" t="s">
        <v>21</v>
      </c>
      <c r="K285" s="19" t="b">
        <v>0</v>
      </c>
      <c r="L285" s="15">
        <v>2018</v>
      </c>
      <c r="M285" s="16">
        <v>22891987.89</v>
      </c>
      <c r="N285" s="20">
        <v>41443</v>
      </c>
      <c r="O285" s="20">
        <v>41443</v>
      </c>
    </row>
    <row r="286" spans="1:15" ht="14.25">
      <c r="A286" s="17">
        <v>2013</v>
      </c>
      <c r="B286" s="18" t="s">
        <v>473</v>
      </c>
      <c r="C286" s="18" t="s">
        <v>474</v>
      </c>
      <c r="D286" s="19">
        <v>1008042</v>
      </c>
      <c r="E286" s="19">
        <v>2</v>
      </c>
      <c r="F286" s="19"/>
      <c r="G286" s="19">
        <v>180</v>
      </c>
      <c r="H286" s="19" t="s">
        <v>74</v>
      </c>
      <c r="I286" s="19"/>
      <c r="J286" s="19" t="s">
        <v>75</v>
      </c>
      <c r="K286" s="19" t="b">
        <v>0</v>
      </c>
      <c r="L286" s="15">
        <v>2015</v>
      </c>
      <c r="M286" s="16">
        <v>290000</v>
      </c>
      <c r="N286" s="20">
        <v>41443</v>
      </c>
      <c r="O286" s="20">
        <v>41443</v>
      </c>
    </row>
    <row r="287" spans="1:15" ht="14.25">
      <c r="A287" s="17">
        <v>2013</v>
      </c>
      <c r="B287" s="18" t="s">
        <v>473</v>
      </c>
      <c r="C287" s="18" t="s">
        <v>474</v>
      </c>
      <c r="D287" s="19">
        <v>1008042</v>
      </c>
      <c r="E287" s="19">
        <v>2</v>
      </c>
      <c r="F287" s="19"/>
      <c r="G287" s="19">
        <v>520</v>
      </c>
      <c r="H287" s="19" t="s">
        <v>110</v>
      </c>
      <c r="I287" s="19"/>
      <c r="J287" s="19" t="s">
        <v>475</v>
      </c>
      <c r="K287" s="19" t="b">
        <v>1</v>
      </c>
      <c r="L287" s="15">
        <v>2015</v>
      </c>
      <c r="M287" s="16">
        <v>0.0717</v>
      </c>
      <c r="N287" s="20">
        <v>41443</v>
      </c>
      <c r="O287" s="20">
        <v>41443</v>
      </c>
    </row>
    <row r="288" spans="1:15" ht="14.25">
      <c r="A288" s="17">
        <v>2013</v>
      </c>
      <c r="B288" s="18" t="s">
        <v>473</v>
      </c>
      <c r="C288" s="18" t="s">
        <v>474</v>
      </c>
      <c r="D288" s="19">
        <v>1008042</v>
      </c>
      <c r="E288" s="19">
        <v>2</v>
      </c>
      <c r="F288" s="19"/>
      <c r="G288" s="19">
        <v>590</v>
      </c>
      <c r="H288" s="19">
        <v>11.2</v>
      </c>
      <c r="I288" s="19"/>
      <c r="J288" s="19" t="s">
        <v>119</v>
      </c>
      <c r="K288" s="19" t="b">
        <v>1</v>
      </c>
      <c r="L288" s="15">
        <v>2019</v>
      </c>
      <c r="M288" s="16">
        <v>2975377.73</v>
      </c>
      <c r="N288" s="20">
        <v>41443</v>
      </c>
      <c r="O288" s="20">
        <v>41443</v>
      </c>
    </row>
    <row r="289" spans="1:15" ht="14.25">
      <c r="A289" s="17">
        <v>2013</v>
      </c>
      <c r="B289" s="18" t="s">
        <v>473</v>
      </c>
      <c r="C289" s="18" t="s">
        <v>474</v>
      </c>
      <c r="D289" s="19">
        <v>1008042</v>
      </c>
      <c r="E289" s="19">
        <v>2</v>
      </c>
      <c r="F289" s="19"/>
      <c r="G289" s="19">
        <v>170</v>
      </c>
      <c r="H289" s="19" t="s">
        <v>72</v>
      </c>
      <c r="I289" s="19"/>
      <c r="J289" s="19" t="s">
        <v>73</v>
      </c>
      <c r="K289" s="19" t="b">
        <v>1</v>
      </c>
      <c r="L289" s="15">
        <v>2020</v>
      </c>
      <c r="M289" s="16">
        <v>120000</v>
      </c>
      <c r="N289" s="20">
        <v>41443</v>
      </c>
      <c r="O289" s="20">
        <v>41443</v>
      </c>
    </row>
    <row r="290" spans="1:15" ht="14.25">
      <c r="A290" s="17">
        <v>2013</v>
      </c>
      <c r="B290" s="18" t="s">
        <v>473</v>
      </c>
      <c r="C290" s="18" t="s">
        <v>474</v>
      </c>
      <c r="D290" s="19">
        <v>1008042</v>
      </c>
      <c r="E290" s="19">
        <v>2</v>
      </c>
      <c r="F290" s="19"/>
      <c r="G290" s="19">
        <v>390</v>
      </c>
      <c r="H290" s="19">
        <v>6.3</v>
      </c>
      <c r="I290" s="19" t="s">
        <v>483</v>
      </c>
      <c r="J290" s="19" t="s">
        <v>98</v>
      </c>
      <c r="K290" s="19" t="b">
        <v>0</v>
      </c>
      <c r="L290" s="15">
        <v>2017</v>
      </c>
      <c r="M290" s="16">
        <v>0.1027</v>
      </c>
      <c r="N290" s="20">
        <v>41443</v>
      </c>
      <c r="O290" s="20">
        <v>41443</v>
      </c>
    </row>
    <row r="291" spans="1:15" ht="14.25">
      <c r="A291" s="17">
        <v>2013</v>
      </c>
      <c r="B291" s="18" t="s">
        <v>473</v>
      </c>
      <c r="C291" s="18" t="s">
        <v>474</v>
      </c>
      <c r="D291" s="19">
        <v>1008042</v>
      </c>
      <c r="E291" s="19">
        <v>2</v>
      </c>
      <c r="F291" s="19"/>
      <c r="G291" s="19">
        <v>310</v>
      </c>
      <c r="H291" s="19">
        <v>5.1</v>
      </c>
      <c r="I291" s="19"/>
      <c r="J291" s="19" t="s">
        <v>88</v>
      </c>
      <c r="K291" s="19" t="b">
        <v>1</v>
      </c>
      <c r="L291" s="15">
        <v>2013</v>
      </c>
      <c r="M291" s="16">
        <v>1133995</v>
      </c>
      <c r="N291" s="20">
        <v>41443</v>
      </c>
      <c r="O291" s="20">
        <v>41443</v>
      </c>
    </row>
    <row r="292" spans="1:15" ht="14.25">
      <c r="A292" s="17">
        <v>2013</v>
      </c>
      <c r="B292" s="18" t="s">
        <v>473</v>
      </c>
      <c r="C292" s="18" t="s">
        <v>474</v>
      </c>
      <c r="D292" s="19">
        <v>1008042</v>
      </c>
      <c r="E292" s="19">
        <v>2</v>
      </c>
      <c r="F292" s="19"/>
      <c r="G292" s="19">
        <v>470</v>
      </c>
      <c r="H292" s="19">
        <v>9.3</v>
      </c>
      <c r="I292" s="19" t="s">
        <v>480</v>
      </c>
      <c r="J292" s="19" t="s">
        <v>481</v>
      </c>
      <c r="K292" s="19" t="b">
        <v>1</v>
      </c>
      <c r="L292" s="15">
        <v>2020</v>
      </c>
      <c r="M292" s="16">
        <v>0.0143</v>
      </c>
      <c r="N292" s="20">
        <v>41443</v>
      </c>
      <c r="O292" s="20">
        <v>41443</v>
      </c>
    </row>
    <row r="293" spans="1:15" ht="14.25">
      <c r="A293" s="17">
        <v>2013</v>
      </c>
      <c r="B293" s="18" t="s">
        <v>473</v>
      </c>
      <c r="C293" s="18" t="s">
        <v>474</v>
      </c>
      <c r="D293" s="19">
        <v>1008042</v>
      </c>
      <c r="E293" s="19">
        <v>2</v>
      </c>
      <c r="F293" s="19"/>
      <c r="G293" s="19">
        <v>350</v>
      </c>
      <c r="H293" s="19">
        <v>6</v>
      </c>
      <c r="I293" s="19"/>
      <c r="J293" s="19" t="s">
        <v>27</v>
      </c>
      <c r="K293" s="19" t="b">
        <v>1</v>
      </c>
      <c r="L293" s="15">
        <v>2018</v>
      </c>
      <c r="M293" s="16">
        <v>1249496.46</v>
      </c>
      <c r="N293" s="20">
        <v>41443</v>
      </c>
      <c r="O293" s="20">
        <v>41443</v>
      </c>
    </row>
    <row r="294" spans="1:15" ht="14.25">
      <c r="A294" s="17">
        <v>2013</v>
      </c>
      <c r="B294" s="18" t="s">
        <v>473</v>
      </c>
      <c r="C294" s="18" t="s">
        <v>474</v>
      </c>
      <c r="D294" s="19">
        <v>1008042</v>
      </c>
      <c r="E294" s="19">
        <v>2</v>
      </c>
      <c r="F294" s="19"/>
      <c r="G294" s="19">
        <v>30</v>
      </c>
      <c r="H294" s="19" t="s">
        <v>48</v>
      </c>
      <c r="I294" s="19"/>
      <c r="J294" s="19" t="s">
        <v>49</v>
      </c>
      <c r="K294" s="19" t="b">
        <v>1</v>
      </c>
      <c r="L294" s="15">
        <v>2013</v>
      </c>
      <c r="M294" s="16">
        <v>5808504</v>
      </c>
      <c r="N294" s="20">
        <v>41443</v>
      </c>
      <c r="O294" s="20">
        <v>41443</v>
      </c>
    </row>
    <row r="295" spans="1:15" ht="14.25">
      <c r="A295" s="17">
        <v>2013</v>
      </c>
      <c r="B295" s="18" t="s">
        <v>473</v>
      </c>
      <c r="C295" s="18" t="s">
        <v>474</v>
      </c>
      <c r="D295" s="19">
        <v>1008042</v>
      </c>
      <c r="E295" s="19">
        <v>2</v>
      </c>
      <c r="F295" s="19"/>
      <c r="G295" s="19">
        <v>240</v>
      </c>
      <c r="H295" s="19">
        <v>4.2</v>
      </c>
      <c r="I295" s="19"/>
      <c r="J295" s="19" t="s">
        <v>80</v>
      </c>
      <c r="K295" s="19" t="b">
        <v>0</v>
      </c>
      <c r="L295" s="15">
        <v>2013</v>
      </c>
      <c r="M295" s="16">
        <v>1112000</v>
      </c>
      <c r="N295" s="20">
        <v>41443</v>
      </c>
      <c r="O295" s="20">
        <v>41443</v>
      </c>
    </row>
    <row r="296" spans="1:15" ht="14.25">
      <c r="A296" s="17">
        <v>2013</v>
      </c>
      <c r="B296" s="18" t="s">
        <v>473</v>
      </c>
      <c r="C296" s="18" t="s">
        <v>474</v>
      </c>
      <c r="D296" s="19">
        <v>1008042</v>
      </c>
      <c r="E296" s="19">
        <v>2</v>
      </c>
      <c r="F296" s="19"/>
      <c r="G296" s="19">
        <v>170</v>
      </c>
      <c r="H296" s="19" t="s">
        <v>72</v>
      </c>
      <c r="I296" s="19"/>
      <c r="J296" s="19" t="s">
        <v>73</v>
      </c>
      <c r="K296" s="19" t="b">
        <v>1</v>
      </c>
      <c r="L296" s="15">
        <v>2017</v>
      </c>
      <c r="M296" s="16">
        <v>240000</v>
      </c>
      <c r="N296" s="20">
        <v>41443</v>
      </c>
      <c r="O296" s="20">
        <v>41443</v>
      </c>
    </row>
    <row r="297" spans="1:15" ht="14.25">
      <c r="A297" s="17">
        <v>2013</v>
      </c>
      <c r="B297" s="18" t="s">
        <v>473</v>
      </c>
      <c r="C297" s="18" t="s">
        <v>474</v>
      </c>
      <c r="D297" s="19">
        <v>1008042</v>
      </c>
      <c r="E297" s="19">
        <v>2</v>
      </c>
      <c r="F297" s="19"/>
      <c r="G297" s="19">
        <v>630</v>
      </c>
      <c r="H297" s="19">
        <v>11.4</v>
      </c>
      <c r="I297" s="19"/>
      <c r="J297" s="19" t="s">
        <v>125</v>
      </c>
      <c r="K297" s="19" t="b">
        <v>1</v>
      </c>
      <c r="L297" s="15">
        <v>2014</v>
      </c>
      <c r="M297" s="16">
        <v>690000</v>
      </c>
      <c r="N297" s="20">
        <v>41443</v>
      </c>
      <c r="O297" s="20">
        <v>41443</v>
      </c>
    </row>
    <row r="298" spans="1:15" ht="14.25">
      <c r="A298" s="17">
        <v>2013</v>
      </c>
      <c r="B298" s="18" t="s">
        <v>473</v>
      </c>
      <c r="C298" s="18" t="s">
        <v>474</v>
      </c>
      <c r="D298" s="19">
        <v>1008042</v>
      </c>
      <c r="E298" s="19">
        <v>2</v>
      </c>
      <c r="F298" s="19"/>
      <c r="G298" s="19">
        <v>620</v>
      </c>
      <c r="H298" s="19" t="s">
        <v>123</v>
      </c>
      <c r="I298" s="19"/>
      <c r="J298" s="19" t="s">
        <v>124</v>
      </c>
      <c r="K298" s="19" t="b">
        <v>1</v>
      </c>
      <c r="L298" s="15">
        <v>2015</v>
      </c>
      <c r="M298" s="16">
        <v>445500</v>
      </c>
      <c r="N298" s="20">
        <v>41443</v>
      </c>
      <c r="O298" s="20">
        <v>41443</v>
      </c>
    </row>
    <row r="299" spans="1:15" ht="14.25">
      <c r="A299" s="17">
        <v>2013</v>
      </c>
      <c r="B299" s="18" t="s">
        <v>473</v>
      </c>
      <c r="C299" s="18" t="s">
        <v>474</v>
      </c>
      <c r="D299" s="19">
        <v>1008042</v>
      </c>
      <c r="E299" s="19">
        <v>2</v>
      </c>
      <c r="F299" s="19"/>
      <c r="G299" s="19">
        <v>880</v>
      </c>
      <c r="H299" s="19">
        <v>14.1</v>
      </c>
      <c r="I299" s="19"/>
      <c r="J299" s="19" t="s">
        <v>158</v>
      </c>
      <c r="K299" s="19" t="b">
        <v>1</v>
      </c>
      <c r="L299" s="15">
        <v>2014</v>
      </c>
      <c r="M299" s="16">
        <v>694000</v>
      </c>
      <c r="N299" s="20">
        <v>41443</v>
      </c>
      <c r="O299" s="20">
        <v>41443</v>
      </c>
    </row>
    <row r="300" spans="1:15" ht="14.25">
      <c r="A300" s="17">
        <v>2013</v>
      </c>
      <c r="B300" s="18" t="s">
        <v>473</v>
      </c>
      <c r="C300" s="18" t="s">
        <v>474</v>
      </c>
      <c r="D300" s="19">
        <v>1008042</v>
      </c>
      <c r="E300" s="19">
        <v>2</v>
      </c>
      <c r="F300" s="19"/>
      <c r="G300" s="19">
        <v>640</v>
      </c>
      <c r="H300" s="19">
        <v>11.5</v>
      </c>
      <c r="I300" s="19"/>
      <c r="J300" s="19" t="s">
        <v>126</v>
      </c>
      <c r="K300" s="19" t="b">
        <v>1</v>
      </c>
      <c r="L300" s="15">
        <v>2015</v>
      </c>
      <c r="M300" s="16">
        <v>834015.26</v>
      </c>
      <c r="N300" s="20">
        <v>41443</v>
      </c>
      <c r="O300" s="20">
        <v>41443</v>
      </c>
    </row>
    <row r="301" spans="1:15" ht="14.25">
      <c r="A301" s="17">
        <v>2013</v>
      </c>
      <c r="B301" s="18" t="s">
        <v>473</v>
      </c>
      <c r="C301" s="18" t="s">
        <v>474</v>
      </c>
      <c r="D301" s="19">
        <v>1008042</v>
      </c>
      <c r="E301" s="19">
        <v>2</v>
      </c>
      <c r="F301" s="19"/>
      <c r="G301" s="19">
        <v>120</v>
      </c>
      <c r="H301" s="19">
        <v>2</v>
      </c>
      <c r="I301" s="19" t="s">
        <v>487</v>
      </c>
      <c r="J301" s="19" t="s">
        <v>21</v>
      </c>
      <c r="K301" s="19" t="b">
        <v>0</v>
      </c>
      <c r="L301" s="15">
        <v>2016</v>
      </c>
      <c r="M301" s="16">
        <v>21216819.55</v>
      </c>
      <c r="N301" s="20">
        <v>41443</v>
      </c>
      <c r="O301" s="20">
        <v>41443</v>
      </c>
    </row>
    <row r="302" spans="1:15" ht="14.25">
      <c r="A302" s="17">
        <v>2013</v>
      </c>
      <c r="B302" s="18" t="s">
        <v>473</v>
      </c>
      <c r="C302" s="18" t="s">
        <v>474</v>
      </c>
      <c r="D302" s="19">
        <v>1008042</v>
      </c>
      <c r="E302" s="19">
        <v>2</v>
      </c>
      <c r="F302" s="19"/>
      <c r="G302" s="19">
        <v>380</v>
      </c>
      <c r="H302" s="19">
        <v>6.2</v>
      </c>
      <c r="I302" s="19" t="s">
        <v>477</v>
      </c>
      <c r="J302" s="19" t="s">
        <v>97</v>
      </c>
      <c r="K302" s="19" t="b">
        <v>0</v>
      </c>
      <c r="L302" s="15">
        <v>2013</v>
      </c>
      <c r="M302" s="16">
        <v>0.2669</v>
      </c>
      <c r="N302" s="20">
        <v>41443</v>
      </c>
      <c r="O302" s="20">
        <v>41443</v>
      </c>
    </row>
    <row r="303" spans="1:15" ht="14.25">
      <c r="A303" s="17">
        <v>2013</v>
      </c>
      <c r="B303" s="18" t="s">
        <v>473</v>
      </c>
      <c r="C303" s="18" t="s">
        <v>474</v>
      </c>
      <c r="D303" s="19">
        <v>1008042</v>
      </c>
      <c r="E303" s="19">
        <v>2</v>
      </c>
      <c r="F303" s="19"/>
      <c r="G303" s="19">
        <v>250</v>
      </c>
      <c r="H303" s="19" t="s">
        <v>81</v>
      </c>
      <c r="I303" s="19"/>
      <c r="J303" s="19" t="s">
        <v>82</v>
      </c>
      <c r="K303" s="19" t="b">
        <v>0</v>
      </c>
      <c r="L303" s="15">
        <v>2013</v>
      </c>
      <c r="M303" s="16">
        <v>1112000</v>
      </c>
      <c r="N303" s="20">
        <v>41443</v>
      </c>
      <c r="O303" s="20">
        <v>41443</v>
      </c>
    </row>
    <row r="304" spans="1:15" ht="14.25">
      <c r="A304" s="17">
        <v>2013</v>
      </c>
      <c r="B304" s="18" t="s">
        <v>473</v>
      </c>
      <c r="C304" s="18" t="s">
        <v>474</v>
      </c>
      <c r="D304" s="19">
        <v>1008042</v>
      </c>
      <c r="E304" s="19">
        <v>2</v>
      </c>
      <c r="F304" s="19"/>
      <c r="G304" s="19">
        <v>350</v>
      </c>
      <c r="H304" s="19">
        <v>6</v>
      </c>
      <c r="I304" s="19"/>
      <c r="J304" s="19" t="s">
        <v>27</v>
      </c>
      <c r="K304" s="19" t="b">
        <v>1</v>
      </c>
      <c r="L304" s="15">
        <v>2014</v>
      </c>
      <c r="M304" s="16">
        <v>5399417.46</v>
      </c>
      <c r="N304" s="20">
        <v>41443</v>
      </c>
      <c r="O304" s="20">
        <v>41443</v>
      </c>
    </row>
    <row r="305" spans="1:15" ht="14.25">
      <c r="A305" s="17">
        <v>2013</v>
      </c>
      <c r="B305" s="18" t="s">
        <v>473</v>
      </c>
      <c r="C305" s="18" t="s">
        <v>474</v>
      </c>
      <c r="D305" s="19">
        <v>1008042</v>
      </c>
      <c r="E305" s="19">
        <v>2</v>
      </c>
      <c r="F305" s="19"/>
      <c r="G305" s="19">
        <v>190</v>
      </c>
      <c r="H305" s="19">
        <v>2.2</v>
      </c>
      <c r="I305" s="19"/>
      <c r="J305" s="19" t="s">
        <v>76</v>
      </c>
      <c r="K305" s="19" t="b">
        <v>0</v>
      </c>
      <c r="L305" s="15">
        <v>2014</v>
      </c>
      <c r="M305" s="16">
        <v>1360000</v>
      </c>
      <c r="N305" s="20">
        <v>41443</v>
      </c>
      <c r="O305" s="20">
        <v>41443</v>
      </c>
    </row>
    <row r="306" spans="1:15" ht="14.25">
      <c r="A306" s="17">
        <v>2013</v>
      </c>
      <c r="B306" s="18" t="s">
        <v>473</v>
      </c>
      <c r="C306" s="18" t="s">
        <v>474</v>
      </c>
      <c r="D306" s="19">
        <v>1008042</v>
      </c>
      <c r="E306" s="19">
        <v>2</v>
      </c>
      <c r="F306" s="19"/>
      <c r="G306" s="19">
        <v>200</v>
      </c>
      <c r="H306" s="19">
        <v>3</v>
      </c>
      <c r="I306" s="19" t="s">
        <v>489</v>
      </c>
      <c r="J306" s="19" t="s">
        <v>23</v>
      </c>
      <c r="K306" s="19" t="b">
        <v>0</v>
      </c>
      <c r="L306" s="15">
        <v>2020</v>
      </c>
      <c r="M306" s="16">
        <v>249496.46</v>
      </c>
      <c r="N306" s="20">
        <v>41443</v>
      </c>
      <c r="O306" s="20">
        <v>41443</v>
      </c>
    </row>
    <row r="307" spans="1:15" ht="14.25">
      <c r="A307" s="17">
        <v>2013</v>
      </c>
      <c r="B307" s="18" t="s">
        <v>473</v>
      </c>
      <c r="C307" s="18" t="s">
        <v>474</v>
      </c>
      <c r="D307" s="19">
        <v>1008042</v>
      </c>
      <c r="E307" s="19">
        <v>2</v>
      </c>
      <c r="F307" s="19"/>
      <c r="G307" s="19">
        <v>40</v>
      </c>
      <c r="H307" s="19" t="s">
        <v>50</v>
      </c>
      <c r="I307" s="19"/>
      <c r="J307" s="19" t="s">
        <v>51</v>
      </c>
      <c r="K307" s="19" t="b">
        <v>1</v>
      </c>
      <c r="L307" s="15">
        <v>2015</v>
      </c>
      <c r="M307" s="16">
        <v>59087.93</v>
      </c>
      <c r="N307" s="20">
        <v>41443</v>
      </c>
      <c r="O307" s="20">
        <v>41443</v>
      </c>
    </row>
    <row r="308" spans="1:15" ht="14.25">
      <c r="A308" s="17">
        <v>2013</v>
      </c>
      <c r="B308" s="18" t="s">
        <v>473</v>
      </c>
      <c r="C308" s="18" t="s">
        <v>474</v>
      </c>
      <c r="D308" s="19">
        <v>1008042</v>
      </c>
      <c r="E308" s="19">
        <v>2</v>
      </c>
      <c r="F308" s="19"/>
      <c r="G308" s="19">
        <v>70</v>
      </c>
      <c r="H308" s="19" t="s">
        <v>56</v>
      </c>
      <c r="I308" s="19"/>
      <c r="J308" s="19" t="s">
        <v>57</v>
      </c>
      <c r="K308" s="19" t="b">
        <v>1</v>
      </c>
      <c r="L308" s="15">
        <v>2014</v>
      </c>
      <c r="M308" s="16">
        <v>6020263.15</v>
      </c>
      <c r="N308" s="20">
        <v>41443</v>
      </c>
      <c r="O308" s="20">
        <v>41443</v>
      </c>
    </row>
    <row r="309" spans="1:15" ht="14.25">
      <c r="A309" s="17">
        <v>2013</v>
      </c>
      <c r="B309" s="18" t="s">
        <v>473</v>
      </c>
      <c r="C309" s="18" t="s">
        <v>474</v>
      </c>
      <c r="D309" s="19">
        <v>1008042</v>
      </c>
      <c r="E309" s="19">
        <v>2</v>
      </c>
      <c r="F309" s="19"/>
      <c r="G309" s="19">
        <v>380</v>
      </c>
      <c r="H309" s="19">
        <v>6.2</v>
      </c>
      <c r="I309" s="19" t="s">
        <v>477</v>
      </c>
      <c r="J309" s="19" t="s">
        <v>97</v>
      </c>
      <c r="K309" s="19" t="b">
        <v>0</v>
      </c>
      <c r="L309" s="15">
        <v>2016</v>
      </c>
      <c r="M309" s="16">
        <v>0.1582</v>
      </c>
      <c r="N309" s="20">
        <v>41443</v>
      </c>
      <c r="O309" s="20">
        <v>41443</v>
      </c>
    </row>
    <row r="310" spans="1:15" ht="14.25">
      <c r="A310" s="17">
        <v>2013</v>
      </c>
      <c r="B310" s="18" t="s">
        <v>473</v>
      </c>
      <c r="C310" s="18" t="s">
        <v>474</v>
      </c>
      <c r="D310" s="19">
        <v>1008042</v>
      </c>
      <c r="E310" s="19">
        <v>2</v>
      </c>
      <c r="F310" s="19"/>
      <c r="G310" s="19">
        <v>70</v>
      </c>
      <c r="H310" s="19" t="s">
        <v>56</v>
      </c>
      <c r="I310" s="19"/>
      <c r="J310" s="19" t="s">
        <v>57</v>
      </c>
      <c r="K310" s="19" t="b">
        <v>1</v>
      </c>
      <c r="L310" s="15">
        <v>2015</v>
      </c>
      <c r="M310" s="16">
        <v>6224952.1</v>
      </c>
      <c r="N310" s="20">
        <v>41443</v>
      </c>
      <c r="O310" s="20">
        <v>41443</v>
      </c>
    </row>
    <row r="311" spans="1:15" ht="14.25">
      <c r="A311" s="17">
        <v>2013</v>
      </c>
      <c r="B311" s="18" t="s">
        <v>473</v>
      </c>
      <c r="C311" s="18" t="s">
        <v>474</v>
      </c>
      <c r="D311" s="19">
        <v>1008042</v>
      </c>
      <c r="E311" s="19">
        <v>2</v>
      </c>
      <c r="F311" s="19"/>
      <c r="G311" s="19">
        <v>610</v>
      </c>
      <c r="H311" s="19" t="s">
        <v>121</v>
      </c>
      <c r="I311" s="19"/>
      <c r="J311" s="19" t="s">
        <v>122</v>
      </c>
      <c r="K311" s="19" t="b">
        <v>1</v>
      </c>
      <c r="L311" s="15">
        <v>2014</v>
      </c>
      <c r="M311" s="16">
        <v>316789.29</v>
      </c>
      <c r="N311" s="20">
        <v>41443</v>
      </c>
      <c r="O311" s="20">
        <v>41443</v>
      </c>
    </row>
    <row r="312" spans="1:15" ht="14.25">
      <c r="A312" s="17">
        <v>2013</v>
      </c>
      <c r="B312" s="18" t="s">
        <v>473</v>
      </c>
      <c r="C312" s="18" t="s">
        <v>474</v>
      </c>
      <c r="D312" s="19">
        <v>1008042</v>
      </c>
      <c r="E312" s="19">
        <v>2</v>
      </c>
      <c r="F312" s="19"/>
      <c r="G312" s="19">
        <v>200</v>
      </c>
      <c r="H312" s="19">
        <v>3</v>
      </c>
      <c r="I312" s="19" t="s">
        <v>489</v>
      </c>
      <c r="J312" s="19" t="s">
        <v>23</v>
      </c>
      <c r="K312" s="19" t="b">
        <v>0</v>
      </c>
      <c r="L312" s="15">
        <v>2015</v>
      </c>
      <c r="M312" s="16">
        <v>826000</v>
      </c>
      <c r="N312" s="20">
        <v>41443</v>
      </c>
      <c r="O312" s="20">
        <v>41443</v>
      </c>
    </row>
    <row r="313" spans="1:15" ht="14.25">
      <c r="A313" s="17">
        <v>2013</v>
      </c>
      <c r="B313" s="18" t="s">
        <v>473</v>
      </c>
      <c r="C313" s="18" t="s">
        <v>474</v>
      </c>
      <c r="D313" s="19">
        <v>1008042</v>
      </c>
      <c r="E313" s="19">
        <v>2</v>
      </c>
      <c r="F313" s="19"/>
      <c r="G313" s="19">
        <v>20</v>
      </c>
      <c r="H313" s="19">
        <v>1.1</v>
      </c>
      <c r="I313" s="19"/>
      <c r="J313" s="19" t="s">
        <v>47</v>
      </c>
      <c r="K313" s="19" t="b">
        <v>1</v>
      </c>
      <c r="L313" s="15">
        <v>2015</v>
      </c>
      <c r="M313" s="16">
        <v>21570990.4</v>
      </c>
      <c r="N313" s="20">
        <v>41443</v>
      </c>
      <c r="O313" s="20">
        <v>41443</v>
      </c>
    </row>
    <row r="314" spans="1:15" ht="14.25">
      <c r="A314" s="17">
        <v>2013</v>
      </c>
      <c r="B314" s="18" t="s">
        <v>473</v>
      </c>
      <c r="C314" s="18" t="s">
        <v>474</v>
      </c>
      <c r="D314" s="19">
        <v>1008042</v>
      </c>
      <c r="E314" s="19">
        <v>2</v>
      </c>
      <c r="F314" s="19"/>
      <c r="G314" s="19">
        <v>590</v>
      </c>
      <c r="H314" s="19">
        <v>11.2</v>
      </c>
      <c r="I314" s="19"/>
      <c r="J314" s="19" t="s">
        <v>119</v>
      </c>
      <c r="K314" s="19" t="b">
        <v>1</v>
      </c>
      <c r="L314" s="15">
        <v>2015</v>
      </c>
      <c r="M314" s="16">
        <v>2543365.35</v>
      </c>
      <c r="N314" s="20">
        <v>41443</v>
      </c>
      <c r="O314" s="20">
        <v>41443</v>
      </c>
    </row>
    <row r="315" spans="1:15" ht="14.25">
      <c r="A315" s="17">
        <v>2013</v>
      </c>
      <c r="B315" s="18" t="s">
        <v>473</v>
      </c>
      <c r="C315" s="18" t="s">
        <v>474</v>
      </c>
      <c r="D315" s="19">
        <v>1008042</v>
      </c>
      <c r="E315" s="19">
        <v>2</v>
      </c>
      <c r="F315" s="19"/>
      <c r="G315" s="19">
        <v>310</v>
      </c>
      <c r="H315" s="19">
        <v>5.1</v>
      </c>
      <c r="I315" s="19"/>
      <c r="J315" s="19" t="s">
        <v>88</v>
      </c>
      <c r="K315" s="19" t="b">
        <v>1</v>
      </c>
      <c r="L315" s="15">
        <v>2016</v>
      </c>
      <c r="M315" s="16">
        <v>1050000</v>
      </c>
      <c r="N315" s="20">
        <v>41443</v>
      </c>
      <c r="O315" s="20">
        <v>41443</v>
      </c>
    </row>
    <row r="316" spans="1:15" ht="14.25">
      <c r="A316" s="17">
        <v>2013</v>
      </c>
      <c r="B316" s="18" t="s">
        <v>473</v>
      </c>
      <c r="C316" s="18" t="s">
        <v>474</v>
      </c>
      <c r="D316" s="19">
        <v>1008042</v>
      </c>
      <c r="E316" s="19">
        <v>2</v>
      </c>
      <c r="F316" s="19"/>
      <c r="G316" s="19">
        <v>60</v>
      </c>
      <c r="H316" s="19" t="s">
        <v>54</v>
      </c>
      <c r="I316" s="19"/>
      <c r="J316" s="19" t="s">
        <v>55</v>
      </c>
      <c r="K316" s="19" t="b">
        <v>1</v>
      </c>
      <c r="L316" s="15">
        <v>2019</v>
      </c>
      <c r="M316" s="16">
        <v>3654326.74</v>
      </c>
      <c r="N316" s="20">
        <v>41443</v>
      </c>
      <c r="O316" s="20">
        <v>41443</v>
      </c>
    </row>
    <row r="317" spans="1:15" ht="14.25">
      <c r="A317" s="17">
        <v>2013</v>
      </c>
      <c r="B317" s="18" t="s">
        <v>473</v>
      </c>
      <c r="C317" s="18" t="s">
        <v>474</v>
      </c>
      <c r="D317" s="19">
        <v>1008042</v>
      </c>
      <c r="E317" s="19">
        <v>2</v>
      </c>
      <c r="F317" s="19"/>
      <c r="G317" s="19">
        <v>620</v>
      </c>
      <c r="H317" s="19" t="s">
        <v>123</v>
      </c>
      <c r="I317" s="19"/>
      <c r="J317" s="19" t="s">
        <v>124</v>
      </c>
      <c r="K317" s="19" t="b">
        <v>1</v>
      </c>
      <c r="L317" s="15">
        <v>2016</v>
      </c>
      <c r="M317" s="16">
        <v>700000</v>
      </c>
      <c r="N317" s="20">
        <v>41443</v>
      </c>
      <c r="O317" s="20">
        <v>41443</v>
      </c>
    </row>
    <row r="318" spans="1:15" ht="14.25">
      <c r="A318" s="17">
        <v>2013</v>
      </c>
      <c r="B318" s="18" t="s">
        <v>473</v>
      </c>
      <c r="C318" s="18" t="s">
        <v>474</v>
      </c>
      <c r="D318" s="19">
        <v>1008042</v>
      </c>
      <c r="E318" s="19">
        <v>2</v>
      </c>
      <c r="F318" s="19"/>
      <c r="G318" s="19">
        <v>500</v>
      </c>
      <c r="H318" s="19">
        <v>9.6</v>
      </c>
      <c r="I318" s="19" t="s">
        <v>485</v>
      </c>
      <c r="J318" s="19" t="s">
        <v>106</v>
      </c>
      <c r="K318" s="19" t="b">
        <v>0</v>
      </c>
      <c r="L318" s="15">
        <v>2013</v>
      </c>
      <c r="M318" s="16">
        <v>0.073</v>
      </c>
      <c r="N318" s="20">
        <v>41443</v>
      </c>
      <c r="O318" s="20">
        <v>41443</v>
      </c>
    </row>
    <row r="319" spans="1:15" ht="14.25">
      <c r="A319" s="17">
        <v>2013</v>
      </c>
      <c r="B319" s="18" t="s">
        <v>473</v>
      </c>
      <c r="C319" s="18" t="s">
        <v>474</v>
      </c>
      <c r="D319" s="19">
        <v>1008042</v>
      </c>
      <c r="E319" s="19">
        <v>2</v>
      </c>
      <c r="F319" s="19"/>
      <c r="G319" s="19">
        <v>50</v>
      </c>
      <c r="H319" s="19" t="s">
        <v>52</v>
      </c>
      <c r="I319" s="19"/>
      <c r="J319" s="19" t="s">
        <v>53</v>
      </c>
      <c r="K319" s="19" t="b">
        <v>1</v>
      </c>
      <c r="L319" s="15">
        <v>2013</v>
      </c>
      <c r="M319" s="16">
        <v>4503938</v>
      </c>
      <c r="N319" s="20">
        <v>41443</v>
      </c>
      <c r="O319" s="20">
        <v>41443</v>
      </c>
    </row>
    <row r="320" spans="1:15" ht="14.25">
      <c r="A320" s="17">
        <v>2013</v>
      </c>
      <c r="B320" s="18" t="s">
        <v>473</v>
      </c>
      <c r="C320" s="18" t="s">
        <v>474</v>
      </c>
      <c r="D320" s="19">
        <v>1008042</v>
      </c>
      <c r="E320" s="19">
        <v>2</v>
      </c>
      <c r="F320" s="19"/>
      <c r="G320" s="19">
        <v>740</v>
      </c>
      <c r="H320" s="19" t="s">
        <v>140</v>
      </c>
      <c r="I320" s="19"/>
      <c r="J320" s="19" t="s">
        <v>141</v>
      </c>
      <c r="K320" s="19" t="b">
        <v>0</v>
      </c>
      <c r="L320" s="15">
        <v>2013</v>
      </c>
      <c r="M320" s="16">
        <v>14280</v>
      </c>
      <c r="N320" s="20">
        <v>41443</v>
      </c>
      <c r="O320" s="20">
        <v>41443</v>
      </c>
    </row>
    <row r="321" spans="1:15" ht="14.25">
      <c r="A321" s="17">
        <v>2013</v>
      </c>
      <c r="B321" s="18" t="s">
        <v>473</v>
      </c>
      <c r="C321" s="18" t="s">
        <v>474</v>
      </c>
      <c r="D321" s="19">
        <v>1008042</v>
      </c>
      <c r="E321" s="19">
        <v>2</v>
      </c>
      <c r="F321" s="19"/>
      <c r="G321" s="19">
        <v>10</v>
      </c>
      <c r="H321" s="19">
        <v>1</v>
      </c>
      <c r="I321" s="19" t="s">
        <v>492</v>
      </c>
      <c r="J321" s="19" t="s">
        <v>26</v>
      </c>
      <c r="K321" s="19" t="b">
        <v>1</v>
      </c>
      <c r="L321" s="15">
        <v>2019</v>
      </c>
      <c r="M321" s="16">
        <v>24952529.34</v>
      </c>
      <c r="N321" s="20">
        <v>41443</v>
      </c>
      <c r="O321" s="20">
        <v>41443</v>
      </c>
    </row>
    <row r="322" spans="1:15" ht="14.25">
      <c r="A322" s="17">
        <v>2013</v>
      </c>
      <c r="B322" s="18" t="s">
        <v>473</v>
      </c>
      <c r="C322" s="18" t="s">
        <v>474</v>
      </c>
      <c r="D322" s="19">
        <v>1008042</v>
      </c>
      <c r="E322" s="19">
        <v>2</v>
      </c>
      <c r="F322" s="19"/>
      <c r="G322" s="19">
        <v>120</v>
      </c>
      <c r="H322" s="19">
        <v>2</v>
      </c>
      <c r="I322" s="19" t="s">
        <v>487</v>
      </c>
      <c r="J322" s="19" t="s">
        <v>21</v>
      </c>
      <c r="K322" s="19" t="b">
        <v>0</v>
      </c>
      <c r="L322" s="15">
        <v>2019</v>
      </c>
      <c r="M322" s="16">
        <v>23952529.34</v>
      </c>
      <c r="N322" s="20">
        <v>41443</v>
      </c>
      <c r="O322" s="20">
        <v>41443</v>
      </c>
    </row>
    <row r="323" spans="1:15" ht="14.25">
      <c r="A323" s="17">
        <v>2013</v>
      </c>
      <c r="B323" s="18" t="s">
        <v>473</v>
      </c>
      <c r="C323" s="18" t="s">
        <v>474</v>
      </c>
      <c r="D323" s="19">
        <v>1008042</v>
      </c>
      <c r="E323" s="19">
        <v>2</v>
      </c>
      <c r="F323" s="19"/>
      <c r="G323" s="19">
        <v>500</v>
      </c>
      <c r="H323" s="19">
        <v>9.6</v>
      </c>
      <c r="I323" s="19" t="s">
        <v>485</v>
      </c>
      <c r="J323" s="19" t="s">
        <v>106</v>
      </c>
      <c r="K323" s="19" t="b">
        <v>0</v>
      </c>
      <c r="L323" s="15">
        <v>2015</v>
      </c>
      <c r="M323" s="16">
        <v>0.0517</v>
      </c>
      <c r="N323" s="20">
        <v>41443</v>
      </c>
      <c r="O323" s="20">
        <v>41443</v>
      </c>
    </row>
    <row r="324" spans="1:15" ht="14.25">
      <c r="A324" s="17">
        <v>2013</v>
      </c>
      <c r="B324" s="18" t="s">
        <v>473</v>
      </c>
      <c r="C324" s="18" t="s">
        <v>474</v>
      </c>
      <c r="D324" s="19">
        <v>1008042</v>
      </c>
      <c r="E324" s="19">
        <v>2</v>
      </c>
      <c r="F324" s="19"/>
      <c r="G324" s="19">
        <v>480</v>
      </c>
      <c r="H324" s="19">
        <v>9.4</v>
      </c>
      <c r="I324" s="19" t="s">
        <v>479</v>
      </c>
      <c r="J324" s="19" t="s">
        <v>104</v>
      </c>
      <c r="K324" s="19" t="b">
        <v>0</v>
      </c>
      <c r="L324" s="15">
        <v>2019</v>
      </c>
      <c r="M324" s="16">
        <v>0.0453</v>
      </c>
      <c r="N324" s="20">
        <v>41443</v>
      </c>
      <c r="O324" s="20">
        <v>41443</v>
      </c>
    </row>
    <row r="325" spans="1:15" ht="14.25">
      <c r="A325" s="17">
        <v>2013</v>
      </c>
      <c r="B325" s="18" t="s">
        <v>473</v>
      </c>
      <c r="C325" s="18" t="s">
        <v>474</v>
      </c>
      <c r="D325" s="19">
        <v>1008042</v>
      </c>
      <c r="E325" s="19">
        <v>2</v>
      </c>
      <c r="F325" s="19"/>
      <c r="G325" s="19">
        <v>20</v>
      </c>
      <c r="H325" s="19">
        <v>1.1</v>
      </c>
      <c r="I325" s="19"/>
      <c r="J325" s="19" t="s">
        <v>47</v>
      </c>
      <c r="K325" s="19" t="b">
        <v>1</v>
      </c>
      <c r="L325" s="15">
        <v>2016</v>
      </c>
      <c r="M325" s="16">
        <v>22246819.55</v>
      </c>
      <c r="N325" s="20">
        <v>41443</v>
      </c>
      <c r="O325" s="20">
        <v>41443</v>
      </c>
    </row>
    <row r="326" spans="1:15" ht="14.25">
      <c r="A326" s="17">
        <v>2013</v>
      </c>
      <c r="B326" s="18" t="s">
        <v>473</v>
      </c>
      <c r="C326" s="18" t="s">
        <v>474</v>
      </c>
      <c r="D326" s="19">
        <v>1008042</v>
      </c>
      <c r="E326" s="19">
        <v>2</v>
      </c>
      <c r="F326" s="19"/>
      <c r="G326" s="19">
        <v>40</v>
      </c>
      <c r="H326" s="19" t="s">
        <v>50</v>
      </c>
      <c r="I326" s="19"/>
      <c r="J326" s="19" t="s">
        <v>51</v>
      </c>
      <c r="K326" s="19" t="b">
        <v>1</v>
      </c>
      <c r="L326" s="15">
        <v>2018</v>
      </c>
      <c r="M326" s="16">
        <v>66274.34</v>
      </c>
      <c r="N326" s="20">
        <v>41443</v>
      </c>
      <c r="O326" s="20">
        <v>41443</v>
      </c>
    </row>
    <row r="327" spans="1:15" ht="14.25">
      <c r="A327" s="17">
        <v>2013</v>
      </c>
      <c r="B327" s="18" t="s">
        <v>473</v>
      </c>
      <c r="C327" s="18" t="s">
        <v>474</v>
      </c>
      <c r="D327" s="19">
        <v>1008042</v>
      </c>
      <c r="E327" s="19">
        <v>2</v>
      </c>
      <c r="F327" s="19"/>
      <c r="G327" s="19">
        <v>670</v>
      </c>
      <c r="H327" s="19">
        <v>12.1</v>
      </c>
      <c r="I327" s="19"/>
      <c r="J327" s="19" t="s">
        <v>129</v>
      </c>
      <c r="K327" s="19" t="b">
        <v>1</v>
      </c>
      <c r="L327" s="15">
        <v>2013</v>
      </c>
      <c r="M327" s="16">
        <v>544163.79</v>
      </c>
      <c r="N327" s="20">
        <v>41443</v>
      </c>
      <c r="O327" s="20">
        <v>41443</v>
      </c>
    </row>
    <row r="328" spans="1:15" ht="14.25">
      <c r="A328" s="17">
        <v>2013</v>
      </c>
      <c r="B328" s="18" t="s">
        <v>473</v>
      </c>
      <c r="C328" s="18" t="s">
        <v>474</v>
      </c>
      <c r="D328" s="19">
        <v>1008042</v>
      </c>
      <c r="E328" s="19">
        <v>2</v>
      </c>
      <c r="F328" s="19"/>
      <c r="G328" s="19">
        <v>390</v>
      </c>
      <c r="H328" s="19">
        <v>6.3</v>
      </c>
      <c r="I328" s="19" t="s">
        <v>483</v>
      </c>
      <c r="J328" s="19" t="s">
        <v>98</v>
      </c>
      <c r="K328" s="19" t="b">
        <v>0</v>
      </c>
      <c r="L328" s="15">
        <v>2013</v>
      </c>
      <c r="M328" s="16">
        <v>0.2669</v>
      </c>
      <c r="N328" s="20">
        <v>41443</v>
      </c>
      <c r="O328" s="20">
        <v>41443</v>
      </c>
    </row>
    <row r="329" spans="1:15" ht="14.25">
      <c r="A329" s="17">
        <v>2013</v>
      </c>
      <c r="B329" s="18" t="s">
        <v>473</v>
      </c>
      <c r="C329" s="18" t="s">
        <v>474</v>
      </c>
      <c r="D329" s="19">
        <v>1008042</v>
      </c>
      <c r="E329" s="19">
        <v>2</v>
      </c>
      <c r="F329" s="19"/>
      <c r="G329" s="19">
        <v>70</v>
      </c>
      <c r="H329" s="19" t="s">
        <v>56</v>
      </c>
      <c r="I329" s="19"/>
      <c r="J329" s="19" t="s">
        <v>57</v>
      </c>
      <c r="K329" s="19" t="b">
        <v>1</v>
      </c>
      <c r="L329" s="15">
        <v>2013</v>
      </c>
      <c r="M329" s="16">
        <v>5830045</v>
      </c>
      <c r="N329" s="20">
        <v>41443</v>
      </c>
      <c r="O329" s="20">
        <v>41443</v>
      </c>
    </row>
    <row r="330" spans="1:15" ht="14.25">
      <c r="A330" s="17">
        <v>2013</v>
      </c>
      <c r="B330" s="18" t="s">
        <v>473</v>
      </c>
      <c r="C330" s="18" t="s">
        <v>474</v>
      </c>
      <c r="D330" s="19">
        <v>1008042</v>
      </c>
      <c r="E330" s="19">
        <v>2</v>
      </c>
      <c r="F330" s="19"/>
      <c r="G330" s="19">
        <v>540</v>
      </c>
      <c r="H330" s="19" t="s">
        <v>113</v>
      </c>
      <c r="I330" s="19" t="s">
        <v>491</v>
      </c>
      <c r="J330" s="19" t="s">
        <v>114</v>
      </c>
      <c r="K330" s="19" t="b">
        <v>0</v>
      </c>
      <c r="L330" s="15">
        <v>2018</v>
      </c>
      <c r="M330" s="16">
        <v>418</v>
      </c>
      <c r="N330" s="20">
        <v>41443</v>
      </c>
      <c r="O330" s="20">
        <v>41443</v>
      </c>
    </row>
    <row r="331" spans="1:15" ht="14.25">
      <c r="A331" s="17">
        <v>2013</v>
      </c>
      <c r="B331" s="18" t="s">
        <v>473</v>
      </c>
      <c r="C331" s="18" t="s">
        <v>474</v>
      </c>
      <c r="D331" s="19">
        <v>1008042</v>
      </c>
      <c r="E331" s="19">
        <v>2</v>
      </c>
      <c r="F331" s="19"/>
      <c r="G331" s="19">
        <v>80</v>
      </c>
      <c r="H331" s="19" t="s">
        <v>58</v>
      </c>
      <c r="I331" s="19"/>
      <c r="J331" s="19" t="s">
        <v>59</v>
      </c>
      <c r="K331" s="19" t="b">
        <v>1</v>
      </c>
      <c r="L331" s="15">
        <v>2015</v>
      </c>
      <c r="M331" s="16">
        <v>2554806.76</v>
      </c>
      <c r="N331" s="20">
        <v>41443</v>
      </c>
      <c r="O331" s="20">
        <v>41443</v>
      </c>
    </row>
    <row r="332" spans="1:15" ht="14.25">
      <c r="A332" s="17">
        <v>2013</v>
      </c>
      <c r="B332" s="18" t="s">
        <v>473</v>
      </c>
      <c r="C332" s="18" t="s">
        <v>474</v>
      </c>
      <c r="D332" s="19">
        <v>1008042</v>
      </c>
      <c r="E332" s="19">
        <v>2</v>
      </c>
      <c r="F332" s="19"/>
      <c r="G332" s="19">
        <v>90</v>
      </c>
      <c r="H332" s="19">
        <v>1.2</v>
      </c>
      <c r="I332" s="19"/>
      <c r="J332" s="19" t="s">
        <v>60</v>
      </c>
      <c r="K332" s="19" t="b">
        <v>1</v>
      </c>
      <c r="L332" s="15">
        <v>2015</v>
      </c>
      <c r="M332" s="16">
        <v>30000</v>
      </c>
      <c r="N332" s="20">
        <v>41443</v>
      </c>
      <c r="O332" s="20">
        <v>41443</v>
      </c>
    </row>
    <row r="333" spans="1:15" ht="14.25">
      <c r="A333" s="17">
        <v>2013</v>
      </c>
      <c r="B333" s="18" t="s">
        <v>473</v>
      </c>
      <c r="C333" s="18" t="s">
        <v>474</v>
      </c>
      <c r="D333" s="19">
        <v>1008042</v>
      </c>
      <c r="E333" s="19">
        <v>2</v>
      </c>
      <c r="F333" s="19"/>
      <c r="G333" s="19">
        <v>60</v>
      </c>
      <c r="H333" s="19" t="s">
        <v>54</v>
      </c>
      <c r="I333" s="19"/>
      <c r="J333" s="19" t="s">
        <v>55</v>
      </c>
      <c r="K333" s="19" t="b">
        <v>1</v>
      </c>
      <c r="L333" s="15">
        <v>2015</v>
      </c>
      <c r="M333" s="16">
        <v>3135777.11</v>
      </c>
      <c r="N333" s="20">
        <v>41443</v>
      </c>
      <c r="O333" s="20">
        <v>41443</v>
      </c>
    </row>
    <row r="334" spans="1:15" ht="14.25">
      <c r="A334" s="17">
        <v>2013</v>
      </c>
      <c r="B334" s="18" t="s">
        <v>473</v>
      </c>
      <c r="C334" s="18" t="s">
        <v>474</v>
      </c>
      <c r="D334" s="19">
        <v>1008042</v>
      </c>
      <c r="E334" s="19">
        <v>2</v>
      </c>
      <c r="F334" s="19"/>
      <c r="G334" s="19">
        <v>80</v>
      </c>
      <c r="H334" s="19" t="s">
        <v>58</v>
      </c>
      <c r="I334" s="19"/>
      <c r="J334" s="19" t="s">
        <v>59</v>
      </c>
      <c r="K334" s="19" t="b">
        <v>1</v>
      </c>
      <c r="L334" s="15">
        <v>2017</v>
      </c>
      <c r="M334" s="16">
        <v>2586075.93</v>
      </c>
      <c r="N334" s="20">
        <v>41443</v>
      </c>
      <c r="O334" s="20">
        <v>41443</v>
      </c>
    </row>
    <row r="335" spans="1:15" ht="14.25">
      <c r="A335" s="17">
        <v>2013</v>
      </c>
      <c r="B335" s="18" t="s">
        <v>473</v>
      </c>
      <c r="C335" s="18" t="s">
        <v>474</v>
      </c>
      <c r="D335" s="19">
        <v>1008042</v>
      </c>
      <c r="E335" s="19">
        <v>2</v>
      </c>
      <c r="F335" s="19"/>
      <c r="G335" s="19">
        <v>460</v>
      </c>
      <c r="H335" s="19">
        <v>9.2</v>
      </c>
      <c r="I335" s="19" t="s">
        <v>479</v>
      </c>
      <c r="J335" s="19" t="s">
        <v>103</v>
      </c>
      <c r="K335" s="19" t="b">
        <v>0</v>
      </c>
      <c r="L335" s="15">
        <v>2017</v>
      </c>
      <c r="M335" s="16">
        <v>0.0601</v>
      </c>
      <c r="N335" s="20">
        <v>41443</v>
      </c>
      <c r="O335" s="20">
        <v>41443</v>
      </c>
    </row>
    <row r="336" spans="1:15" ht="14.25">
      <c r="A336" s="17">
        <v>2013</v>
      </c>
      <c r="B336" s="18" t="s">
        <v>473</v>
      </c>
      <c r="C336" s="18" t="s">
        <v>474</v>
      </c>
      <c r="D336" s="19">
        <v>1008042</v>
      </c>
      <c r="E336" s="19">
        <v>2</v>
      </c>
      <c r="F336" s="19"/>
      <c r="G336" s="19">
        <v>450</v>
      </c>
      <c r="H336" s="19">
        <v>9.1</v>
      </c>
      <c r="I336" s="19" t="s">
        <v>480</v>
      </c>
      <c r="J336" s="19" t="s">
        <v>102</v>
      </c>
      <c r="K336" s="19" t="b">
        <v>1</v>
      </c>
      <c r="L336" s="15">
        <v>2014</v>
      </c>
      <c r="M336" s="16">
        <v>0.0498</v>
      </c>
      <c r="N336" s="20">
        <v>41443</v>
      </c>
      <c r="O336" s="20">
        <v>41443</v>
      </c>
    </row>
    <row r="337" spans="1:15" ht="14.25">
      <c r="A337" s="17">
        <v>2013</v>
      </c>
      <c r="B337" s="18" t="s">
        <v>473</v>
      </c>
      <c r="C337" s="18" t="s">
        <v>474</v>
      </c>
      <c r="D337" s="19">
        <v>1008042</v>
      </c>
      <c r="E337" s="19">
        <v>2</v>
      </c>
      <c r="F337" s="19"/>
      <c r="G337" s="19">
        <v>180</v>
      </c>
      <c r="H337" s="19" t="s">
        <v>74</v>
      </c>
      <c r="I337" s="19"/>
      <c r="J337" s="19" t="s">
        <v>75</v>
      </c>
      <c r="K337" s="19" t="b">
        <v>0</v>
      </c>
      <c r="L337" s="15">
        <v>2019</v>
      </c>
      <c r="M337" s="16">
        <v>130000</v>
      </c>
      <c r="N337" s="20">
        <v>41443</v>
      </c>
      <c r="O337" s="20">
        <v>41443</v>
      </c>
    </row>
    <row r="338" spans="1:15" ht="14.25">
      <c r="A338" s="17">
        <v>2013</v>
      </c>
      <c r="B338" s="18" t="s">
        <v>473</v>
      </c>
      <c r="C338" s="18" t="s">
        <v>474</v>
      </c>
      <c r="D338" s="19">
        <v>1008042</v>
      </c>
      <c r="E338" s="19">
        <v>2</v>
      </c>
      <c r="F338" s="19"/>
      <c r="G338" s="19">
        <v>130</v>
      </c>
      <c r="H338" s="19">
        <v>2.1</v>
      </c>
      <c r="I338" s="19"/>
      <c r="J338" s="19" t="s">
        <v>65</v>
      </c>
      <c r="K338" s="19" t="b">
        <v>1</v>
      </c>
      <c r="L338" s="15">
        <v>2013</v>
      </c>
      <c r="M338" s="16">
        <v>19789445.6</v>
      </c>
      <c r="N338" s="20">
        <v>41443</v>
      </c>
      <c r="O338" s="20">
        <v>41443</v>
      </c>
    </row>
    <row r="339" spans="1:15" ht="14.25">
      <c r="A339" s="17">
        <v>2013</v>
      </c>
      <c r="B339" s="18" t="s">
        <v>473</v>
      </c>
      <c r="C339" s="18" t="s">
        <v>474</v>
      </c>
      <c r="D339" s="19">
        <v>1008042</v>
      </c>
      <c r="E339" s="19">
        <v>2</v>
      </c>
      <c r="F339" s="19"/>
      <c r="G339" s="19">
        <v>210</v>
      </c>
      <c r="H339" s="19">
        <v>4</v>
      </c>
      <c r="I339" s="19" t="s">
        <v>493</v>
      </c>
      <c r="J339" s="19" t="s">
        <v>24</v>
      </c>
      <c r="K339" s="19" t="b">
        <v>0</v>
      </c>
      <c r="L339" s="15">
        <v>2013</v>
      </c>
      <c r="M339" s="16">
        <v>2422816</v>
      </c>
      <c r="N339" s="20">
        <v>41443</v>
      </c>
      <c r="O339" s="20">
        <v>41443</v>
      </c>
    </row>
    <row r="340" spans="1:15" ht="14.25">
      <c r="A340" s="17">
        <v>2013</v>
      </c>
      <c r="B340" s="18" t="s">
        <v>473</v>
      </c>
      <c r="C340" s="18" t="s">
        <v>474</v>
      </c>
      <c r="D340" s="19">
        <v>1008042</v>
      </c>
      <c r="E340" s="19">
        <v>2</v>
      </c>
      <c r="F340" s="19"/>
      <c r="G340" s="19">
        <v>60</v>
      </c>
      <c r="H340" s="19" t="s">
        <v>54</v>
      </c>
      <c r="I340" s="19"/>
      <c r="J340" s="19" t="s">
        <v>55</v>
      </c>
      <c r="K340" s="19" t="b">
        <v>1</v>
      </c>
      <c r="L340" s="15">
        <v>2013</v>
      </c>
      <c r="M340" s="16">
        <v>2918832</v>
      </c>
      <c r="N340" s="20">
        <v>41443</v>
      </c>
      <c r="O340" s="20">
        <v>41443</v>
      </c>
    </row>
    <row r="341" spans="1:15" ht="14.25">
      <c r="A341" s="17">
        <v>2013</v>
      </c>
      <c r="B341" s="18" t="s">
        <v>473</v>
      </c>
      <c r="C341" s="18" t="s">
        <v>474</v>
      </c>
      <c r="D341" s="19">
        <v>1008042</v>
      </c>
      <c r="E341" s="19">
        <v>2</v>
      </c>
      <c r="F341" s="19"/>
      <c r="G341" s="19">
        <v>70</v>
      </c>
      <c r="H341" s="19" t="s">
        <v>56</v>
      </c>
      <c r="I341" s="19"/>
      <c r="J341" s="19" t="s">
        <v>57</v>
      </c>
      <c r="K341" s="19" t="b">
        <v>1</v>
      </c>
      <c r="L341" s="15">
        <v>2017</v>
      </c>
      <c r="M341" s="16">
        <v>6719966.52</v>
      </c>
      <c r="N341" s="20">
        <v>41443</v>
      </c>
      <c r="O341" s="20">
        <v>41443</v>
      </c>
    </row>
    <row r="342" spans="1:15" ht="14.25">
      <c r="A342" s="17">
        <v>2013</v>
      </c>
      <c r="B342" s="18" t="s">
        <v>473</v>
      </c>
      <c r="C342" s="18" t="s">
        <v>474</v>
      </c>
      <c r="D342" s="19">
        <v>1008042</v>
      </c>
      <c r="E342" s="19">
        <v>2</v>
      </c>
      <c r="F342" s="19"/>
      <c r="G342" s="19">
        <v>520</v>
      </c>
      <c r="H342" s="19" t="s">
        <v>110</v>
      </c>
      <c r="I342" s="19"/>
      <c r="J342" s="19" t="s">
        <v>475</v>
      </c>
      <c r="K342" s="19" t="b">
        <v>1</v>
      </c>
      <c r="L342" s="15">
        <v>2017</v>
      </c>
      <c r="M342" s="16">
        <v>0.0889</v>
      </c>
      <c r="N342" s="20">
        <v>41443</v>
      </c>
      <c r="O342" s="20">
        <v>41443</v>
      </c>
    </row>
    <row r="343" spans="1:15" ht="14.25">
      <c r="A343" s="17">
        <v>2013</v>
      </c>
      <c r="B343" s="18" t="s">
        <v>473</v>
      </c>
      <c r="C343" s="18" t="s">
        <v>474</v>
      </c>
      <c r="D343" s="19">
        <v>1008042</v>
      </c>
      <c r="E343" s="19">
        <v>2</v>
      </c>
      <c r="F343" s="19"/>
      <c r="G343" s="19">
        <v>40</v>
      </c>
      <c r="H343" s="19" t="s">
        <v>50</v>
      </c>
      <c r="I343" s="19"/>
      <c r="J343" s="19" t="s">
        <v>51</v>
      </c>
      <c r="K343" s="19" t="b">
        <v>1</v>
      </c>
      <c r="L343" s="15">
        <v>2013</v>
      </c>
      <c r="M343" s="16">
        <v>55000</v>
      </c>
      <c r="N343" s="20">
        <v>41443</v>
      </c>
      <c r="O343" s="20">
        <v>41443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215</v>
      </c>
      <c r="N3" s="5" t="s">
        <v>216</v>
      </c>
      <c r="O3" s="5" t="s">
        <v>218</v>
      </c>
      <c r="P3" s="5" t="s">
        <v>217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473</v>
      </c>
      <c r="C4" s="18" t="s">
        <v>474</v>
      </c>
      <c r="D4" s="19">
        <v>1008042</v>
      </c>
      <c r="E4" s="19">
        <v>2</v>
      </c>
      <c r="F4" s="19"/>
      <c r="G4" s="19">
        <v>20</v>
      </c>
      <c r="H4" s="19">
        <v>1.1</v>
      </c>
      <c r="I4" s="19"/>
      <c r="J4" s="19" t="s">
        <v>47</v>
      </c>
      <c r="K4" s="19" t="b">
        <v>1</v>
      </c>
      <c r="L4" s="15">
        <v>2013</v>
      </c>
      <c r="M4" s="16">
        <v>16382877.29</v>
      </c>
      <c r="N4" s="16">
        <v>17470618.27</v>
      </c>
      <c r="O4" s="16">
        <v>18650804.4</v>
      </c>
      <c r="P4" s="16">
        <v>19055099.62</v>
      </c>
      <c r="Q4" s="20">
        <v>41443</v>
      </c>
      <c r="R4" s="20">
        <v>41443</v>
      </c>
    </row>
    <row r="5" spans="1:18" ht="14.25">
      <c r="A5" s="17">
        <v>2013</v>
      </c>
      <c r="B5" s="18" t="s">
        <v>473</v>
      </c>
      <c r="C5" s="18" t="s">
        <v>474</v>
      </c>
      <c r="D5" s="19">
        <v>1008042</v>
      </c>
      <c r="E5" s="19">
        <v>2</v>
      </c>
      <c r="F5" s="19"/>
      <c r="G5" s="19">
        <v>60</v>
      </c>
      <c r="H5" s="19" t="s">
        <v>54</v>
      </c>
      <c r="I5" s="19"/>
      <c r="J5" s="19" t="s">
        <v>55</v>
      </c>
      <c r="K5" s="19" t="b">
        <v>1</v>
      </c>
      <c r="L5" s="15">
        <v>2013</v>
      </c>
      <c r="M5" s="16">
        <v>2332373.96</v>
      </c>
      <c r="N5" s="16">
        <v>2621259.48</v>
      </c>
      <c r="O5" s="16">
        <v>2701400</v>
      </c>
      <c r="P5" s="16">
        <v>2799117.53</v>
      </c>
      <c r="Q5" s="20">
        <v>41443</v>
      </c>
      <c r="R5" s="20">
        <v>41443</v>
      </c>
    </row>
    <row r="6" spans="1:18" ht="14.25">
      <c r="A6" s="17">
        <v>2013</v>
      </c>
      <c r="B6" s="18" t="s">
        <v>473</v>
      </c>
      <c r="C6" s="18" t="s">
        <v>474</v>
      </c>
      <c r="D6" s="19">
        <v>1008042</v>
      </c>
      <c r="E6" s="19">
        <v>2</v>
      </c>
      <c r="F6" s="19"/>
      <c r="G6" s="19">
        <v>10</v>
      </c>
      <c r="H6" s="19">
        <v>1</v>
      </c>
      <c r="I6" s="19" t="s">
        <v>492</v>
      </c>
      <c r="J6" s="19" t="s">
        <v>26</v>
      </c>
      <c r="K6" s="19" t="b">
        <v>1</v>
      </c>
      <c r="L6" s="15">
        <v>2013</v>
      </c>
      <c r="M6" s="16">
        <v>17384905.11</v>
      </c>
      <c r="N6" s="16">
        <v>17642423.29</v>
      </c>
      <c r="O6" s="16">
        <v>19217578.4</v>
      </c>
      <c r="P6" s="16">
        <v>19501354.62</v>
      </c>
      <c r="Q6" s="20">
        <v>41443</v>
      </c>
      <c r="R6" s="20">
        <v>41443</v>
      </c>
    </row>
    <row r="7" spans="1:18" ht="14.25">
      <c r="A7" s="17">
        <v>2013</v>
      </c>
      <c r="B7" s="18" t="s">
        <v>473</v>
      </c>
      <c r="C7" s="18" t="s">
        <v>474</v>
      </c>
      <c r="D7" s="19">
        <v>1008042</v>
      </c>
      <c r="E7" s="19">
        <v>2</v>
      </c>
      <c r="F7" s="19"/>
      <c r="G7" s="19">
        <v>70</v>
      </c>
      <c r="H7" s="19" t="s">
        <v>56</v>
      </c>
      <c r="I7" s="19"/>
      <c r="J7" s="19" t="s">
        <v>57</v>
      </c>
      <c r="K7" s="19" t="b">
        <v>1</v>
      </c>
      <c r="L7" s="15">
        <v>2013</v>
      </c>
      <c r="M7" s="16">
        <v>5018941</v>
      </c>
      <c r="N7" s="16">
        <v>5051066</v>
      </c>
      <c r="O7" s="16">
        <v>5672702</v>
      </c>
      <c r="P7" s="16">
        <v>5761394</v>
      </c>
      <c r="Q7" s="20">
        <v>41443</v>
      </c>
      <c r="R7" s="20">
        <v>41443</v>
      </c>
    </row>
    <row r="8" spans="1:18" ht="14.25">
      <c r="A8" s="17">
        <v>2013</v>
      </c>
      <c r="B8" s="18" t="s">
        <v>473</v>
      </c>
      <c r="C8" s="18" t="s">
        <v>474</v>
      </c>
      <c r="D8" s="19">
        <v>1008042</v>
      </c>
      <c r="E8" s="19">
        <v>2</v>
      </c>
      <c r="F8" s="19"/>
      <c r="G8" s="19">
        <v>520</v>
      </c>
      <c r="H8" s="19" t="s">
        <v>110</v>
      </c>
      <c r="I8" s="19"/>
      <c r="J8" s="19" t="s">
        <v>475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41443</v>
      </c>
      <c r="R8" s="20">
        <v>41443</v>
      </c>
    </row>
    <row r="9" spans="1:18" ht="14.25">
      <c r="A9" s="17">
        <v>2013</v>
      </c>
      <c r="B9" s="18" t="s">
        <v>473</v>
      </c>
      <c r="C9" s="18" t="s">
        <v>474</v>
      </c>
      <c r="D9" s="19">
        <v>1008042</v>
      </c>
      <c r="E9" s="19">
        <v>2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6131413.64</v>
      </c>
      <c r="N9" s="16">
        <v>6389154.2</v>
      </c>
      <c r="O9" s="16">
        <v>6692079.2</v>
      </c>
      <c r="P9" s="16">
        <v>5430035.79</v>
      </c>
      <c r="Q9" s="20">
        <v>41443</v>
      </c>
      <c r="R9" s="20">
        <v>41443</v>
      </c>
    </row>
    <row r="10" spans="1:18" ht="14.25">
      <c r="A10" s="17">
        <v>2013</v>
      </c>
      <c r="B10" s="18" t="s">
        <v>473</v>
      </c>
      <c r="C10" s="18" t="s">
        <v>474</v>
      </c>
      <c r="D10" s="19">
        <v>1008042</v>
      </c>
      <c r="E10" s="19">
        <v>2</v>
      </c>
      <c r="F10" s="19"/>
      <c r="G10" s="19">
        <v>620</v>
      </c>
      <c r="H10" s="19" t="s">
        <v>123</v>
      </c>
      <c r="I10" s="19"/>
      <c r="J10" s="19" t="s">
        <v>124</v>
      </c>
      <c r="K10" s="19" t="b">
        <v>1</v>
      </c>
      <c r="L10" s="15">
        <v>2013</v>
      </c>
      <c r="M10" s="16">
        <v>0</v>
      </c>
      <c r="N10" s="16">
        <v>308438.55</v>
      </c>
      <c r="O10" s="16">
        <v>1077960</v>
      </c>
      <c r="P10" s="16">
        <v>629433.19</v>
      </c>
      <c r="Q10" s="20">
        <v>41443</v>
      </c>
      <c r="R10" s="20">
        <v>41443</v>
      </c>
    </row>
    <row r="11" spans="1:18" ht="14.25">
      <c r="A11" s="17">
        <v>2013</v>
      </c>
      <c r="B11" s="18" t="s">
        <v>473</v>
      </c>
      <c r="C11" s="18" t="s">
        <v>474</v>
      </c>
      <c r="D11" s="19">
        <v>1008042</v>
      </c>
      <c r="E11" s="19">
        <v>2</v>
      </c>
      <c r="F11" s="19"/>
      <c r="G11" s="19">
        <v>860</v>
      </c>
      <c r="H11" s="19">
        <v>13.7</v>
      </c>
      <c r="I11" s="19"/>
      <c r="J11" s="19" t="s">
        <v>156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41443</v>
      </c>
      <c r="R11" s="20">
        <v>41443</v>
      </c>
    </row>
    <row r="12" spans="1:18" ht="14.25">
      <c r="A12" s="17">
        <v>2013</v>
      </c>
      <c r="B12" s="18" t="s">
        <v>473</v>
      </c>
      <c r="C12" s="18" t="s">
        <v>474</v>
      </c>
      <c r="D12" s="19">
        <v>1008042</v>
      </c>
      <c r="E12" s="19">
        <v>2</v>
      </c>
      <c r="F12" s="19"/>
      <c r="G12" s="19">
        <v>770</v>
      </c>
      <c r="H12" s="19" t="s">
        <v>145</v>
      </c>
      <c r="I12" s="19"/>
      <c r="J12" s="19" t="s">
        <v>146</v>
      </c>
      <c r="K12" s="19" t="b">
        <v>1</v>
      </c>
      <c r="L12" s="15">
        <v>2013</v>
      </c>
      <c r="M12" s="16">
        <v>209764.87</v>
      </c>
      <c r="N12" s="16">
        <v>285447.25</v>
      </c>
      <c r="O12" s="16">
        <v>559468.05</v>
      </c>
      <c r="P12" s="16">
        <v>524881.5</v>
      </c>
      <c r="Q12" s="20">
        <v>41443</v>
      </c>
      <c r="R12" s="20">
        <v>41443</v>
      </c>
    </row>
    <row r="13" spans="1:18" ht="14.25">
      <c r="A13" s="17">
        <v>2013</v>
      </c>
      <c r="B13" s="18" t="s">
        <v>473</v>
      </c>
      <c r="C13" s="18" t="s">
        <v>474</v>
      </c>
      <c r="D13" s="19">
        <v>1008042</v>
      </c>
      <c r="E13" s="19">
        <v>2</v>
      </c>
      <c r="F13" s="19"/>
      <c r="G13" s="19">
        <v>550</v>
      </c>
      <c r="H13" s="19">
        <v>10</v>
      </c>
      <c r="I13" s="19"/>
      <c r="J13" s="19" t="s">
        <v>115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41443</v>
      </c>
      <c r="R13" s="20">
        <v>41443</v>
      </c>
    </row>
    <row r="14" spans="1:18" ht="14.25">
      <c r="A14" s="17">
        <v>2013</v>
      </c>
      <c r="B14" s="18" t="s">
        <v>473</v>
      </c>
      <c r="C14" s="18" t="s">
        <v>474</v>
      </c>
      <c r="D14" s="19">
        <v>1008042</v>
      </c>
      <c r="E14" s="19">
        <v>2</v>
      </c>
      <c r="F14" s="19"/>
      <c r="G14" s="19">
        <v>180</v>
      </c>
      <c r="H14" s="19" t="s">
        <v>74</v>
      </c>
      <c r="I14" s="19"/>
      <c r="J14" s="19" t="s">
        <v>75</v>
      </c>
      <c r="K14" s="19" t="b">
        <v>0</v>
      </c>
      <c r="L14" s="15">
        <v>2013</v>
      </c>
      <c r="M14" s="16">
        <v>244338.5</v>
      </c>
      <c r="N14" s="16">
        <v>353126.69</v>
      </c>
      <c r="O14" s="16">
        <v>400000</v>
      </c>
      <c r="P14" s="16">
        <v>372355.15</v>
      </c>
      <c r="Q14" s="20">
        <v>41443</v>
      </c>
      <c r="R14" s="20">
        <v>41443</v>
      </c>
    </row>
    <row r="15" spans="1:18" ht="14.25">
      <c r="A15" s="17">
        <v>2013</v>
      </c>
      <c r="B15" s="18" t="s">
        <v>473</v>
      </c>
      <c r="C15" s="18" t="s">
        <v>474</v>
      </c>
      <c r="D15" s="19">
        <v>1008042</v>
      </c>
      <c r="E15" s="19">
        <v>2</v>
      </c>
      <c r="F15" s="19"/>
      <c r="G15" s="19">
        <v>730</v>
      </c>
      <c r="H15" s="19">
        <v>12.3</v>
      </c>
      <c r="I15" s="19"/>
      <c r="J15" s="19" t="s">
        <v>139</v>
      </c>
      <c r="K15" s="19" t="b">
        <v>0</v>
      </c>
      <c r="L15" s="15">
        <v>2013</v>
      </c>
      <c r="M15" s="16">
        <v>182966.04</v>
      </c>
      <c r="N15" s="16">
        <v>194043.54</v>
      </c>
      <c r="O15" s="16">
        <v>318803.51</v>
      </c>
      <c r="P15" s="16">
        <v>304034.2</v>
      </c>
      <c r="Q15" s="20">
        <v>41443</v>
      </c>
      <c r="R15" s="20">
        <v>41443</v>
      </c>
    </row>
    <row r="16" spans="1:18" ht="14.25">
      <c r="A16" s="17">
        <v>2013</v>
      </c>
      <c r="B16" s="18" t="s">
        <v>473</v>
      </c>
      <c r="C16" s="18" t="s">
        <v>474</v>
      </c>
      <c r="D16" s="19">
        <v>1008042</v>
      </c>
      <c r="E16" s="19">
        <v>2</v>
      </c>
      <c r="F16" s="19"/>
      <c r="G16" s="19">
        <v>260</v>
      </c>
      <c r="H16" s="19">
        <v>4.3</v>
      </c>
      <c r="I16" s="19"/>
      <c r="J16" s="19" t="s">
        <v>83</v>
      </c>
      <c r="K16" s="19" t="b">
        <v>1</v>
      </c>
      <c r="L16" s="15">
        <v>2013</v>
      </c>
      <c r="M16" s="16">
        <v>1900000</v>
      </c>
      <c r="N16" s="16">
        <v>1500000</v>
      </c>
      <c r="O16" s="16">
        <v>1352185</v>
      </c>
      <c r="P16" s="16">
        <v>300000</v>
      </c>
      <c r="Q16" s="20">
        <v>41443</v>
      </c>
      <c r="R16" s="20">
        <v>41443</v>
      </c>
    </row>
    <row r="17" spans="1:18" ht="14.25">
      <c r="A17" s="17">
        <v>2013</v>
      </c>
      <c r="B17" s="18" t="s">
        <v>473</v>
      </c>
      <c r="C17" s="18" t="s">
        <v>474</v>
      </c>
      <c r="D17" s="19">
        <v>1008042</v>
      </c>
      <c r="E17" s="19">
        <v>2</v>
      </c>
      <c r="F17" s="19"/>
      <c r="G17" s="19">
        <v>490</v>
      </c>
      <c r="H17" s="19">
        <v>9.5</v>
      </c>
      <c r="I17" s="19"/>
      <c r="J17" s="19" t="s">
        <v>105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41443</v>
      </c>
      <c r="R17" s="20">
        <v>41443</v>
      </c>
    </row>
    <row r="18" spans="1:18" ht="14.25">
      <c r="A18" s="17">
        <v>2013</v>
      </c>
      <c r="B18" s="18" t="s">
        <v>473</v>
      </c>
      <c r="C18" s="18" t="s">
        <v>474</v>
      </c>
      <c r="D18" s="19">
        <v>1008042</v>
      </c>
      <c r="E18" s="19">
        <v>2</v>
      </c>
      <c r="F18" s="19"/>
      <c r="G18" s="19">
        <v>390</v>
      </c>
      <c r="H18" s="19">
        <v>6.3</v>
      </c>
      <c r="I18" s="19" t="s">
        <v>483</v>
      </c>
      <c r="J18" s="19" t="s">
        <v>98</v>
      </c>
      <c r="K18" s="19" t="b">
        <v>0</v>
      </c>
      <c r="L18" s="15">
        <v>2013</v>
      </c>
      <c r="M18" s="16">
        <v>0.3527</v>
      </c>
      <c r="N18" s="16">
        <v>0.3621</v>
      </c>
      <c r="O18" s="16">
        <v>0.3482</v>
      </c>
      <c r="P18" s="16">
        <v>0.2784</v>
      </c>
      <c r="Q18" s="20">
        <v>41443</v>
      </c>
      <c r="R18" s="20">
        <v>41443</v>
      </c>
    </row>
    <row r="19" spans="1:18" ht="14.25">
      <c r="A19" s="17">
        <v>2013</v>
      </c>
      <c r="B19" s="18" t="s">
        <v>473</v>
      </c>
      <c r="C19" s="18" t="s">
        <v>474</v>
      </c>
      <c r="D19" s="19">
        <v>1008042</v>
      </c>
      <c r="E19" s="19">
        <v>2</v>
      </c>
      <c r="F19" s="19"/>
      <c r="G19" s="19">
        <v>460</v>
      </c>
      <c r="H19" s="19">
        <v>9.2</v>
      </c>
      <c r="I19" s="19" t="s">
        <v>479</v>
      </c>
      <c r="J19" s="19" t="s">
        <v>103</v>
      </c>
      <c r="K19" s="19" t="b">
        <v>0</v>
      </c>
      <c r="L19" s="15">
        <v>2013</v>
      </c>
      <c r="M19" s="16">
        <v>0.0727</v>
      </c>
      <c r="N19" s="16">
        <v>0.0904</v>
      </c>
      <c r="O19" s="16">
        <v>0.0754</v>
      </c>
      <c r="P19" s="16">
        <v>0.0729</v>
      </c>
      <c r="Q19" s="20">
        <v>41443</v>
      </c>
      <c r="R19" s="20">
        <v>41443</v>
      </c>
    </row>
    <row r="20" spans="1:18" ht="14.25">
      <c r="A20" s="17">
        <v>2013</v>
      </c>
      <c r="B20" s="18" t="s">
        <v>473</v>
      </c>
      <c r="C20" s="18" t="s">
        <v>474</v>
      </c>
      <c r="D20" s="19">
        <v>1008042</v>
      </c>
      <c r="E20" s="19">
        <v>2</v>
      </c>
      <c r="F20" s="19"/>
      <c r="G20" s="19">
        <v>630</v>
      </c>
      <c r="H20" s="19">
        <v>11.4</v>
      </c>
      <c r="I20" s="19"/>
      <c r="J20" s="19" t="s">
        <v>125</v>
      </c>
      <c r="K20" s="19" t="b">
        <v>1</v>
      </c>
      <c r="L20" s="15">
        <v>2013</v>
      </c>
      <c r="M20" s="16">
        <v>2653876.37</v>
      </c>
      <c r="N20" s="16">
        <v>95488</v>
      </c>
      <c r="O20" s="16">
        <v>495460</v>
      </c>
      <c r="P20" s="16">
        <v>439480.09</v>
      </c>
      <c r="Q20" s="20">
        <v>41443</v>
      </c>
      <c r="R20" s="20">
        <v>41443</v>
      </c>
    </row>
    <row r="21" spans="1:18" ht="14.25">
      <c r="A21" s="17">
        <v>2013</v>
      </c>
      <c r="B21" s="18" t="s">
        <v>473</v>
      </c>
      <c r="C21" s="18" t="s">
        <v>474</v>
      </c>
      <c r="D21" s="19">
        <v>1008042</v>
      </c>
      <c r="E21" s="19">
        <v>2</v>
      </c>
      <c r="F21" s="19"/>
      <c r="G21" s="19">
        <v>890</v>
      </c>
      <c r="H21" s="19">
        <v>14.2</v>
      </c>
      <c r="I21" s="19"/>
      <c r="J21" s="19" t="s">
        <v>159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141.03</v>
      </c>
      <c r="Q21" s="20">
        <v>41443</v>
      </c>
      <c r="R21" s="20">
        <v>41443</v>
      </c>
    </row>
    <row r="22" spans="1:18" ht="14.25">
      <c r="A22" s="17">
        <v>2013</v>
      </c>
      <c r="B22" s="18" t="s">
        <v>473</v>
      </c>
      <c r="C22" s="18" t="s">
        <v>474</v>
      </c>
      <c r="D22" s="19">
        <v>1008042</v>
      </c>
      <c r="E22" s="19">
        <v>2</v>
      </c>
      <c r="F22" s="19"/>
      <c r="G22" s="19">
        <v>230</v>
      </c>
      <c r="H22" s="19" t="s">
        <v>78</v>
      </c>
      <c r="I22" s="19"/>
      <c r="J22" s="19" t="s">
        <v>79</v>
      </c>
      <c r="K22" s="19" t="b">
        <v>0</v>
      </c>
      <c r="L22" s="15">
        <v>2013</v>
      </c>
      <c r="M22" s="16">
        <v>0</v>
      </c>
      <c r="N22" s="16">
        <v>0</v>
      </c>
      <c r="O22" s="16">
        <v>369699.82</v>
      </c>
      <c r="P22" s="16">
        <v>0</v>
      </c>
      <c r="Q22" s="20">
        <v>41443</v>
      </c>
      <c r="R22" s="20">
        <v>41443</v>
      </c>
    </row>
    <row r="23" spans="1:18" ht="14.25">
      <c r="A23" s="17">
        <v>2013</v>
      </c>
      <c r="B23" s="18" t="s">
        <v>473</v>
      </c>
      <c r="C23" s="18" t="s">
        <v>474</v>
      </c>
      <c r="D23" s="19">
        <v>1008042</v>
      </c>
      <c r="E23" s="19">
        <v>2</v>
      </c>
      <c r="F23" s="19"/>
      <c r="G23" s="19">
        <v>690</v>
      </c>
      <c r="H23" s="19" t="s">
        <v>132</v>
      </c>
      <c r="I23" s="19"/>
      <c r="J23" s="19" t="s">
        <v>133</v>
      </c>
      <c r="K23" s="19" t="b">
        <v>1</v>
      </c>
      <c r="L23" s="15">
        <v>2013</v>
      </c>
      <c r="M23" s="16">
        <v>110091.68</v>
      </c>
      <c r="N23" s="16">
        <v>198689.69</v>
      </c>
      <c r="O23" s="16">
        <v>308457.4</v>
      </c>
      <c r="P23" s="16">
        <v>292199.16</v>
      </c>
      <c r="Q23" s="20">
        <v>41443</v>
      </c>
      <c r="R23" s="20">
        <v>41443</v>
      </c>
    </row>
    <row r="24" spans="1:18" ht="14.25">
      <c r="A24" s="17">
        <v>2013</v>
      </c>
      <c r="B24" s="18" t="s">
        <v>473</v>
      </c>
      <c r="C24" s="18" t="s">
        <v>474</v>
      </c>
      <c r="D24" s="19">
        <v>1008042</v>
      </c>
      <c r="E24" s="19">
        <v>2</v>
      </c>
      <c r="F24" s="19"/>
      <c r="G24" s="19">
        <v>830</v>
      </c>
      <c r="H24" s="19">
        <v>13.4</v>
      </c>
      <c r="I24" s="19"/>
      <c r="J24" s="19" t="s">
        <v>153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41443</v>
      </c>
      <c r="R24" s="20">
        <v>41443</v>
      </c>
    </row>
    <row r="25" spans="1:18" ht="14.25">
      <c r="A25" s="17">
        <v>2013</v>
      </c>
      <c r="B25" s="18" t="s">
        <v>473</v>
      </c>
      <c r="C25" s="18" t="s">
        <v>474</v>
      </c>
      <c r="D25" s="19">
        <v>1008042</v>
      </c>
      <c r="E25" s="19">
        <v>2</v>
      </c>
      <c r="F25" s="19"/>
      <c r="G25" s="19">
        <v>30</v>
      </c>
      <c r="H25" s="19" t="s">
        <v>48</v>
      </c>
      <c r="I25" s="19"/>
      <c r="J25" s="19" t="s">
        <v>49</v>
      </c>
      <c r="K25" s="19" t="b">
        <v>1</v>
      </c>
      <c r="L25" s="15">
        <v>2013</v>
      </c>
      <c r="M25" s="16">
        <v>4196006</v>
      </c>
      <c r="N25" s="16">
        <v>4802827</v>
      </c>
      <c r="O25" s="16">
        <v>5087153</v>
      </c>
      <c r="P25" s="16">
        <v>4945951</v>
      </c>
      <c r="Q25" s="20">
        <v>41443</v>
      </c>
      <c r="R25" s="20">
        <v>41443</v>
      </c>
    </row>
    <row r="26" spans="1:18" ht="14.25">
      <c r="A26" s="17">
        <v>2013</v>
      </c>
      <c r="B26" s="18" t="s">
        <v>473</v>
      </c>
      <c r="C26" s="18" t="s">
        <v>474</v>
      </c>
      <c r="D26" s="19">
        <v>1008042</v>
      </c>
      <c r="E26" s="19">
        <v>2</v>
      </c>
      <c r="F26" s="19"/>
      <c r="G26" s="19">
        <v>310</v>
      </c>
      <c r="H26" s="19">
        <v>5.1</v>
      </c>
      <c r="I26" s="19"/>
      <c r="J26" s="19" t="s">
        <v>88</v>
      </c>
      <c r="K26" s="19" t="b">
        <v>1</v>
      </c>
      <c r="L26" s="15">
        <v>2013</v>
      </c>
      <c r="M26" s="16">
        <v>1020254</v>
      </c>
      <c r="N26" s="16">
        <v>1242259.44</v>
      </c>
      <c r="O26" s="16">
        <v>1049260</v>
      </c>
      <c r="P26" s="16">
        <v>1049259.44</v>
      </c>
      <c r="Q26" s="20">
        <v>41443</v>
      </c>
      <c r="R26" s="20">
        <v>41443</v>
      </c>
    </row>
    <row r="27" spans="1:18" ht="14.25">
      <c r="A27" s="17">
        <v>2013</v>
      </c>
      <c r="B27" s="18" t="s">
        <v>473</v>
      </c>
      <c r="C27" s="18" t="s">
        <v>474</v>
      </c>
      <c r="D27" s="19">
        <v>1008042</v>
      </c>
      <c r="E27" s="19">
        <v>2</v>
      </c>
      <c r="F27" s="19"/>
      <c r="G27" s="19">
        <v>240</v>
      </c>
      <c r="H27" s="19">
        <v>4.2</v>
      </c>
      <c r="I27" s="19"/>
      <c r="J27" s="19" t="s">
        <v>80</v>
      </c>
      <c r="K27" s="19" t="b">
        <v>0</v>
      </c>
      <c r="L27" s="15">
        <v>2013</v>
      </c>
      <c r="M27" s="16">
        <v>666776.02</v>
      </c>
      <c r="N27" s="16">
        <v>302073.56</v>
      </c>
      <c r="O27" s="16">
        <v>430300.18</v>
      </c>
      <c r="P27" s="16">
        <v>929513.94</v>
      </c>
      <c r="Q27" s="20">
        <v>41443</v>
      </c>
      <c r="R27" s="20">
        <v>41443</v>
      </c>
    </row>
    <row r="28" spans="1:18" ht="14.25">
      <c r="A28" s="17">
        <v>2013</v>
      </c>
      <c r="B28" s="18" t="s">
        <v>473</v>
      </c>
      <c r="C28" s="18" t="s">
        <v>474</v>
      </c>
      <c r="D28" s="19">
        <v>1008042</v>
      </c>
      <c r="E28" s="19">
        <v>2</v>
      </c>
      <c r="F28" s="19"/>
      <c r="G28" s="19">
        <v>280</v>
      </c>
      <c r="H28" s="19">
        <v>4.4</v>
      </c>
      <c r="I28" s="19"/>
      <c r="J28" s="19" t="s">
        <v>85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41443</v>
      </c>
      <c r="R28" s="20">
        <v>41443</v>
      </c>
    </row>
    <row r="29" spans="1:18" ht="14.25">
      <c r="A29" s="17">
        <v>2013</v>
      </c>
      <c r="B29" s="18" t="s">
        <v>473</v>
      </c>
      <c r="C29" s="18" t="s">
        <v>474</v>
      </c>
      <c r="D29" s="19">
        <v>1008042</v>
      </c>
      <c r="E29" s="19">
        <v>2</v>
      </c>
      <c r="F29" s="19"/>
      <c r="G29" s="19">
        <v>790</v>
      </c>
      <c r="H29" s="19">
        <v>13</v>
      </c>
      <c r="I29" s="19"/>
      <c r="J29" s="19" t="s">
        <v>149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41443</v>
      </c>
      <c r="R29" s="20">
        <v>41443</v>
      </c>
    </row>
    <row r="30" spans="1:18" ht="14.25">
      <c r="A30" s="17">
        <v>2013</v>
      </c>
      <c r="B30" s="18" t="s">
        <v>473</v>
      </c>
      <c r="C30" s="18" t="s">
        <v>474</v>
      </c>
      <c r="D30" s="19">
        <v>1008042</v>
      </c>
      <c r="E30" s="19">
        <v>2</v>
      </c>
      <c r="F30" s="19"/>
      <c r="G30" s="19">
        <v>700</v>
      </c>
      <c r="H30" s="19">
        <v>12.2</v>
      </c>
      <c r="I30" s="19"/>
      <c r="J30" s="19" t="s">
        <v>134</v>
      </c>
      <c r="K30" s="19" t="b">
        <v>0</v>
      </c>
      <c r="L30" s="15">
        <v>2013</v>
      </c>
      <c r="M30" s="16">
        <v>0</v>
      </c>
      <c r="N30" s="16">
        <v>157323</v>
      </c>
      <c r="O30" s="16">
        <v>431774</v>
      </c>
      <c r="P30" s="16">
        <v>414255</v>
      </c>
      <c r="Q30" s="20">
        <v>41443</v>
      </c>
      <c r="R30" s="20">
        <v>41443</v>
      </c>
    </row>
    <row r="31" spans="1:18" ht="14.25">
      <c r="A31" s="17">
        <v>2013</v>
      </c>
      <c r="B31" s="18" t="s">
        <v>473</v>
      </c>
      <c r="C31" s="18" t="s">
        <v>474</v>
      </c>
      <c r="D31" s="19">
        <v>1008042</v>
      </c>
      <c r="E31" s="19">
        <v>2</v>
      </c>
      <c r="F31" s="19"/>
      <c r="G31" s="19">
        <v>270</v>
      </c>
      <c r="H31" s="19" t="s">
        <v>84</v>
      </c>
      <c r="I31" s="19"/>
      <c r="J31" s="19" t="s">
        <v>82</v>
      </c>
      <c r="K31" s="19" t="b">
        <v>1</v>
      </c>
      <c r="L31" s="15">
        <v>2013</v>
      </c>
      <c r="M31" s="16">
        <v>1197927</v>
      </c>
      <c r="N31" s="16">
        <v>0</v>
      </c>
      <c r="O31" s="16">
        <v>0</v>
      </c>
      <c r="P31" s="16">
        <v>0</v>
      </c>
      <c r="Q31" s="20">
        <v>41443</v>
      </c>
      <c r="R31" s="20">
        <v>41443</v>
      </c>
    </row>
    <row r="32" spans="1:18" ht="14.25">
      <c r="A32" s="17">
        <v>2013</v>
      </c>
      <c r="B32" s="18" t="s">
        <v>473</v>
      </c>
      <c r="C32" s="18" t="s">
        <v>474</v>
      </c>
      <c r="D32" s="19">
        <v>1008042</v>
      </c>
      <c r="E32" s="19">
        <v>2</v>
      </c>
      <c r="F32" s="19"/>
      <c r="G32" s="19">
        <v>810</v>
      </c>
      <c r="H32" s="19">
        <v>13.2</v>
      </c>
      <c r="I32" s="19"/>
      <c r="J32" s="19" t="s">
        <v>151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41443</v>
      </c>
      <c r="R32" s="20">
        <v>41443</v>
      </c>
    </row>
    <row r="33" spans="1:18" ht="14.25">
      <c r="A33" s="17">
        <v>2013</v>
      </c>
      <c r="B33" s="18" t="s">
        <v>473</v>
      </c>
      <c r="C33" s="18" t="s">
        <v>474</v>
      </c>
      <c r="D33" s="19">
        <v>1008042</v>
      </c>
      <c r="E33" s="19">
        <v>2</v>
      </c>
      <c r="F33" s="19"/>
      <c r="G33" s="19">
        <v>330</v>
      </c>
      <c r="H33" s="19" t="s">
        <v>91</v>
      </c>
      <c r="I33" s="19"/>
      <c r="J33" s="19" t="s">
        <v>92</v>
      </c>
      <c r="K33" s="19" t="b">
        <v>1</v>
      </c>
      <c r="L33" s="15">
        <v>2013</v>
      </c>
      <c r="M33" s="16">
        <v>0</v>
      </c>
      <c r="N33" s="16">
        <v>0</v>
      </c>
      <c r="O33" s="16">
        <v>0</v>
      </c>
      <c r="P33" s="16">
        <v>0</v>
      </c>
      <c r="Q33" s="20">
        <v>41443</v>
      </c>
      <c r="R33" s="20">
        <v>41443</v>
      </c>
    </row>
    <row r="34" spans="1:18" ht="14.25">
      <c r="A34" s="17">
        <v>2013</v>
      </c>
      <c r="B34" s="18" t="s">
        <v>473</v>
      </c>
      <c r="C34" s="18" t="s">
        <v>474</v>
      </c>
      <c r="D34" s="19">
        <v>1008042</v>
      </c>
      <c r="E34" s="19">
        <v>2</v>
      </c>
      <c r="F34" s="19"/>
      <c r="G34" s="19">
        <v>640</v>
      </c>
      <c r="H34" s="19">
        <v>11.5</v>
      </c>
      <c r="I34" s="19"/>
      <c r="J34" s="19" t="s">
        <v>126</v>
      </c>
      <c r="K34" s="19" t="b">
        <v>1</v>
      </c>
      <c r="L34" s="15">
        <v>2013</v>
      </c>
      <c r="M34" s="16">
        <v>628882.29</v>
      </c>
      <c r="N34" s="16">
        <v>1304955.32</v>
      </c>
      <c r="O34" s="16">
        <v>1244490</v>
      </c>
      <c r="P34" s="16">
        <v>717735.92</v>
      </c>
      <c r="Q34" s="20">
        <v>41443</v>
      </c>
      <c r="R34" s="20">
        <v>41443</v>
      </c>
    </row>
    <row r="35" spans="1:18" ht="14.25">
      <c r="A35" s="17">
        <v>2013</v>
      </c>
      <c r="B35" s="18" t="s">
        <v>473</v>
      </c>
      <c r="C35" s="18" t="s">
        <v>474</v>
      </c>
      <c r="D35" s="19">
        <v>1008042</v>
      </c>
      <c r="E35" s="19">
        <v>2</v>
      </c>
      <c r="F35" s="19"/>
      <c r="G35" s="19">
        <v>210</v>
      </c>
      <c r="H35" s="19">
        <v>4</v>
      </c>
      <c r="I35" s="19" t="s">
        <v>493</v>
      </c>
      <c r="J35" s="19" t="s">
        <v>24</v>
      </c>
      <c r="K35" s="19" t="b">
        <v>0</v>
      </c>
      <c r="L35" s="15">
        <v>2013</v>
      </c>
      <c r="M35" s="16">
        <v>2566776.02</v>
      </c>
      <c r="N35" s="16">
        <v>1802073.56</v>
      </c>
      <c r="O35" s="16">
        <v>2152185</v>
      </c>
      <c r="P35" s="16">
        <v>1229513.94</v>
      </c>
      <c r="Q35" s="20">
        <v>41443</v>
      </c>
      <c r="R35" s="20">
        <v>41443</v>
      </c>
    </row>
    <row r="36" spans="1:18" ht="14.25">
      <c r="A36" s="17">
        <v>2013</v>
      </c>
      <c r="B36" s="18" t="s">
        <v>473</v>
      </c>
      <c r="C36" s="18" t="s">
        <v>474</v>
      </c>
      <c r="D36" s="19">
        <v>1008042</v>
      </c>
      <c r="E36" s="19">
        <v>2</v>
      </c>
      <c r="F36" s="19"/>
      <c r="G36" s="19">
        <v>200</v>
      </c>
      <c r="H36" s="19">
        <v>3</v>
      </c>
      <c r="I36" s="19" t="s">
        <v>489</v>
      </c>
      <c r="J36" s="19" t="s">
        <v>23</v>
      </c>
      <c r="K36" s="19" t="b">
        <v>0</v>
      </c>
      <c r="L36" s="15">
        <v>2013</v>
      </c>
      <c r="M36" s="16">
        <v>-1244448.02</v>
      </c>
      <c r="N36" s="16">
        <v>369699.82</v>
      </c>
      <c r="O36" s="16">
        <v>-1102925</v>
      </c>
      <c r="P36" s="16">
        <v>1126438.2</v>
      </c>
      <c r="Q36" s="20">
        <v>41443</v>
      </c>
      <c r="R36" s="20">
        <v>41443</v>
      </c>
    </row>
    <row r="37" spans="1:18" ht="14.25">
      <c r="A37" s="17">
        <v>2013</v>
      </c>
      <c r="B37" s="18" t="s">
        <v>473</v>
      </c>
      <c r="C37" s="18" t="s">
        <v>474</v>
      </c>
      <c r="D37" s="19">
        <v>1008042</v>
      </c>
      <c r="E37" s="19">
        <v>2</v>
      </c>
      <c r="F37" s="19"/>
      <c r="G37" s="19">
        <v>500</v>
      </c>
      <c r="H37" s="19">
        <v>9.6</v>
      </c>
      <c r="I37" s="19" t="s">
        <v>485</v>
      </c>
      <c r="J37" s="19" t="s">
        <v>106</v>
      </c>
      <c r="K37" s="19" t="b">
        <v>0</v>
      </c>
      <c r="L37" s="15">
        <v>2013</v>
      </c>
      <c r="M37" s="16">
        <v>0.0727</v>
      </c>
      <c r="N37" s="16">
        <v>0.0904</v>
      </c>
      <c r="O37" s="16">
        <v>0.0754</v>
      </c>
      <c r="P37" s="16">
        <v>0.0729</v>
      </c>
      <c r="Q37" s="20">
        <v>41443</v>
      </c>
      <c r="R37" s="20">
        <v>41443</v>
      </c>
    </row>
    <row r="38" spans="1:18" ht="14.25">
      <c r="A38" s="17">
        <v>2013</v>
      </c>
      <c r="B38" s="18" t="s">
        <v>473</v>
      </c>
      <c r="C38" s="18" t="s">
        <v>474</v>
      </c>
      <c r="D38" s="19">
        <v>1008042</v>
      </c>
      <c r="E38" s="19">
        <v>2</v>
      </c>
      <c r="F38" s="19"/>
      <c r="G38" s="19">
        <v>300</v>
      </c>
      <c r="H38" s="19">
        <v>5</v>
      </c>
      <c r="I38" s="19" t="s">
        <v>484</v>
      </c>
      <c r="J38" s="19" t="s">
        <v>87</v>
      </c>
      <c r="K38" s="19" t="b">
        <v>0</v>
      </c>
      <c r="L38" s="15">
        <v>2013</v>
      </c>
      <c r="M38" s="16">
        <v>1020254</v>
      </c>
      <c r="N38" s="16">
        <v>1242259.44</v>
      </c>
      <c r="O38" s="16">
        <v>1049260</v>
      </c>
      <c r="P38" s="16">
        <v>1049259.44</v>
      </c>
      <c r="Q38" s="20">
        <v>41443</v>
      </c>
      <c r="R38" s="20">
        <v>41443</v>
      </c>
    </row>
    <row r="39" spans="1:18" ht="14.25">
      <c r="A39" s="17">
        <v>2013</v>
      </c>
      <c r="B39" s="18" t="s">
        <v>473</v>
      </c>
      <c r="C39" s="18" t="s">
        <v>474</v>
      </c>
      <c r="D39" s="19">
        <v>1008042</v>
      </c>
      <c r="E39" s="19">
        <v>2</v>
      </c>
      <c r="F39" s="19"/>
      <c r="G39" s="19">
        <v>920</v>
      </c>
      <c r="H39" s="19" t="s">
        <v>163</v>
      </c>
      <c r="I39" s="19"/>
      <c r="J39" s="19" t="s">
        <v>164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41443</v>
      </c>
      <c r="R39" s="20">
        <v>41443</v>
      </c>
    </row>
    <row r="40" spans="1:18" ht="14.25">
      <c r="A40" s="17">
        <v>2013</v>
      </c>
      <c r="B40" s="18" t="s">
        <v>473</v>
      </c>
      <c r="C40" s="18" t="s">
        <v>474</v>
      </c>
      <c r="D40" s="19">
        <v>1008042</v>
      </c>
      <c r="E40" s="19">
        <v>2</v>
      </c>
      <c r="F40" s="19"/>
      <c r="G40" s="19">
        <v>320</v>
      </c>
      <c r="H40" s="19" t="s">
        <v>89</v>
      </c>
      <c r="I40" s="19"/>
      <c r="J40" s="19" t="s">
        <v>494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0</v>
      </c>
      <c r="Q40" s="20">
        <v>41443</v>
      </c>
      <c r="R40" s="20">
        <v>41443</v>
      </c>
    </row>
    <row r="41" spans="1:18" ht="14.25">
      <c r="A41" s="17">
        <v>2013</v>
      </c>
      <c r="B41" s="18" t="s">
        <v>473</v>
      </c>
      <c r="C41" s="18" t="s">
        <v>474</v>
      </c>
      <c r="D41" s="19">
        <v>1008042</v>
      </c>
      <c r="E41" s="19">
        <v>2</v>
      </c>
      <c r="F41" s="19"/>
      <c r="G41" s="19">
        <v>710</v>
      </c>
      <c r="H41" s="19" t="s">
        <v>135</v>
      </c>
      <c r="I41" s="19"/>
      <c r="J41" s="19" t="s">
        <v>136</v>
      </c>
      <c r="K41" s="19" t="b">
        <v>0</v>
      </c>
      <c r="L41" s="15">
        <v>2013</v>
      </c>
      <c r="M41" s="16">
        <v>0</v>
      </c>
      <c r="N41" s="16">
        <v>157323</v>
      </c>
      <c r="O41" s="16">
        <v>431774</v>
      </c>
      <c r="P41" s="16">
        <v>414255</v>
      </c>
      <c r="Q41" s="20">
        <v>41443</v>
      </c>
      <c r="R41" s="20">
        <v>41443</v>
      </c>
    </row>
    <row r="42" spans="1:18" ht="14.25">
      <c r="A42" s="17">
        <v>2013</v>
      </c>
      <c r="B42" s="18" t="s">
        <v>473</v>
      </c>
      <c r="C42" s="18" t="s">
        <v>474</v>
      </c>
      <c r="D42" s="19">
        <v>1008042</v>
      </c>
      <c r="E42" s="19">
        <v>2</v>
      </c>
      <c r="F42" s="19"/>
      <c r="G42" s="19">
        <v>900</v>
      </c>
      <c r="H42" s="19">
        <v>14.3</v>
      </c>
      <c r="I42" s="19"/>
      <c r="J42" s="19" t="s">
        <v>160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41443</v>
      </c>
      <c r="R42" s="20">
        <v>41443</v>
      </c>
    </row>
    <row r="43" spans="1:18" ht="14.25">
      <c r="A43" s="17">
        <v>2013</v>
      </c>
      <c r="B43" s="18" t="s">
        <v>473</v>
      </c>
      <c r="C43" s="18" t="s">
        <v>474</v>
      </c>
      <c r="D43" s="19">
        <v>1008042</v>
      </c>
      <c r="E43" s="19">
        <v>2</v>
      </c>
      <c r="F43" s="19"/>
      <c r="G43" s="19">
        <v>680</v>
      </c>
      <c r="H43" s="19" t="s">
        <v>130</v>
      </c>
      <c r="I43" s="19"/>
      <c r="J43" s="19" t="s">
        <v>131</v>
      </c>
      <c r="K43" s="19" t="b">
        <v>1</v>
      </c>
      <c r="L43" s="15">
        <v>2013</v>
      </c>
      <c r="M43" s="16">
        <v>110091.68</v>
      </c>
      <c r="N43" s="16">
        <v>198689.69</v>
      </c>
      <c r="O43" s="16">
        <v>308457.4</v>
      </c>
      <c r="P43" s="16">
        <v>292199.16</v>
      </c>
      <c r="Q43" s="20">
        <v>41443</v>
      </c>
      <c r="R43" s="20">
        <v>41443</v>
      </c>
    </row>
    <row r="44" spans="1:18" ht="14.25">
      <c r="A44" s="17">
        <v>2013</v>
      </c>
      <c r="B44" s="18" t="s">
        <v>473</v>
      </c>
      <c r="C44" s="18" t="s">
        <v>474</v>
      </c>
      <c r="D44" s="19">
        <v>1008042</v>
      </c>
      <c r="E44" s="19">
        <v>2</v>
      </c>
      <c r="F44" s="19"/>
      <c r="G44" s="19">
        <v>720</v>
      </c>
      <c r="H44" s="19" t="s">
        <v>137</v>
      </c>
      <c r="I44" s="19"/>
      <c r="J44" s="19" t="s">
        <v>138</v>
      </c>
      <c r="K44" s="19" t="b">
        <v>0</v>
      </c>
      <c r="L44" s="15">
        <v>2013</v>
      </c>
      <c r="M44" s="16">
        <v>0</v>
      </c>
      <c r="N44" s="16">
        <v>157323</v>
      </c>
      <c r="O44" s="16">
        <v>431774</v>
      </c>
      <c r="P44" s="16">
        <v>414255</v>
      </c>
      <c r="Q44" s="20">
        <v>41443</v>
      </c>
      <c r="R44" s="20">
        <v>41443</v>
      </c>
    </row>
    <row r="45" spans="1:18" ht="14.25">
      <c r="A45" s="17">
        <v>2013</v>
      </c>
      <c r="B45" s="18" t="s">
        <v>473</v>
      </c>
      <c r="C45" s="18" t="s">
        <v>474</v>
      </c>
      <c r="D45" s="19">
        <v>1008042</v>
      </c>
      <c r="E45" s="19">
        <v>2</v>
      </c>
      <c r="F45" s="19"/>
      <c r="G45" s="19">
        <v>780</v>
      </c>
      <c r="H45" s="19" t="s">
        <v>147</v>
      </c>
      <c r="I45" s="19"/>
      <c r="J45" s="19" t="s">
        <v>148</v>
      </c>
      <c r="K45" s="19" t="b">
        <v>1</v>
      </c>
      <c r="L45" s="15">
        <v>2013</v>
      </c>
      <c r="M45" s="16">
        <v>209764.87</v>
      </c>
      <c r="N45" s="16">
        <v>285447.25</v>
      </c>
      <c r="O45" s="16">
        <v>559468.05</v>
      </c>
      <c r="P45" s="16">
        <v>524881.5</v>
      </c>
      <c r="Q45" s="20">
        <v>41443</v>
      </c>
      <c r="R45" s="20">
        <v>41443</v>
      </c>
    </row>
    <row r="46" spans="1:18" ht="14.25">
      <c r="A46" s="17">
        <v>2013</v>
      </c>
      <c r="B46" s="18" t="s">
        <v>473</v>
      </c>
      <c r="C46" s="18" t="s">
        <v>474</v>
      </c>
      <c r="D46" s="19">
        <v>1008042</v>
      </c>
      <c r="E46" s="19">
        <v>2</v>
      </c>
      <c r="F46" s="19"/>
      <c r="G46" s="19">
        <v>800</v>
      </c>
      <c r="H46" s="19">
        <v>13.1</v>
      </c>
      <c r="I46" s="19"/>
      <c r="J46" s="19" t="s">
        <v>150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41443</v>
      </c>
      <c r="R46" s="20">
        <v>41443</v>
      </c>
    </row>
    <row r="47" spans="1:18" ht="14.25">
      <c r="A47" s="17">
        <v>2013</v>
      </c>
      <c r="B47" s="18" t="s">
        <v>473</v>
      </c>
      <c r="C47" s="18" t="s">
        <v>474</v>
      </c>
      <c r="D47" s="19">
        <v>1008042</v>
      </c>
      <c r="E47" s="19">
        <v>2</v>
      </c>
      <c r="F47" s="19"/>
      <c r="G47" s="19">
        <v>580</v>
      </c>
      <c r="H47" s="19">
        <v>11.1</v>
      </c>
      <c r="I47" s="19"/>
      <c r="J47" s="19" t="s">
        <v>118</v>
      </c>
      <c r="K47" s="19" t="b">
        <v>0</v>
      </c>
      <c r="L47" s="15">
        <v>2013</v>
      </c>
      <c r="M47" s="16">
        <v>7726520.97</v>
      </c>
      <c r="N47" s="16">
        <v>8175395.87</v>
      </c>
      <c r="O47" s="16">
        <v>9331118</v>
      </c>
      <c r="P47" s="16">
        <v>9036202.83</v>
      </c>
      <c r="Q47" s="20">
        <v>41443</v>
      </c>
      <c r="R47" s="20">
        <v>41443</v>
      </c>
    </row>
    <row r="48" spans="1:18" ht="14.25">
      <c r="A48" s="17">
        <v>2013</v>
      </c>
      <c r="B48" s="18" t="s">
        <v>473</v>
      </c>
      <c r="C48" s="18" t="s">
        <v>474</v>
      </c>
      <c r="D48" s="19">
        <v>1008042</v>
      </c>
      <c r="E48" s="19">
        <v>2</v>
      </c>
      <c r="F48" s="19"/>
      <c r="G48" s="19">
        <v>570</v>
      </c>
      <c r="H48" s="19">
        <v>11</v>
      </c>
      <c r="I48" s="19"/>
      <c r="J48" s="19" t="s">
        <v>117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41443</v>
      </c>
      <c r="R48" s="20">
        <v>41443</v>
      </c>
    </row>
    <row r="49" spans="1:18" ht="14.25">
      <c r="A49" s="17">
        <v>2013</v>
      </c>
      <c r="B49" s="18" t="s">
        <v>473</v>
      </c>
      <c r="C49" s="18" t="s">
        <v>474</v>
      </c>
      <c r="D49" s="19">
        <v>1008042</v>
      </c>
      <c r="E49" s="19">
        <v>2</v>
      </c>
      <c r="F49" s="19"/>
      <c r="G49" s="19">
        <v>160</v>
      </c>
      <c r="H49" s="19" t="s">
        <v>70</v>
      </c>
      <c r="I49" s="19"/>
      <c r="J49" s="19" t="s">
        <v>71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41443</v>
      </c>
      <c r="R49" s="20">
        <v>41443</v>
      </c>
    </row>
    <row r="50" spans="1:18" ht="14.25">
      <c r="A50" s="17">
        <v>2013</v>
      </c>
      <c r="B50" s="18" t="s">
        <v>473</v>
      </c>
      <c r="C50" s="18" t="s">
        <v>474</v>
      </c>
      <c r="D50" s="19">
        <v>1008042</v>
      </c>
      <c r="E50" s="19">
        <v>2</v>
      </c>
      <c r="F50" s="19"/>
      <c r="G50" s="19">
        <v>530</v>
      </c>
      <c r="H50" s="19">
        <v>9.8</v>
      </c>
      <c r="I50" s="19" t="s">
        <v>488</v>
      </c>
      <c r="J50" s="19" t="s">
        <v>112</v>
      </c>
      <c r="K50" s="19" t="b">
        <v>0</v>
      </c>
      <c r="L50" s="15">
        <v>2013</v>
      </c>
      <c r="M50" s="16">
        <v>0.0727</v>
      </c>
      <c r="N50" s="16">
        <v>0.0904</v>
      </c>
      <c r="O50" s="16">
        <v>0.0754</v>
      </c>
      <c r="P50" s="16">
        <v>0.0729</v>
      </c>
      <c r="Q50" s="20">
        <v>41443</v>
      </c>
      <c r="R50" s="20">
        <v>41443</v>
      </c>
    </row>
    <row r="51" spans="1:18" ht="14.25">
      <c r="A51" s="17">
        <v>2013</v>
      </c>
      <c r="B51" s="18" t="s">
        <v>473</v>
      </c>
      <c r="C51" s="18" t="s">
        <v>474</v>
      </c>
      <c r="D51" s="19">
        <v>1008042</v>
      </c>
      <c r="E51" s="19">
        <v>2</v>
      </c>
      <c r="F51" s="19"/>
      <c r="G51" s="19">
        <v>670</v>
      </c>
      <c r="H51" s="19">
        <v>12.1</v>
      </c>
      <c r="I51" s="19"/>
      <c r="J51" s="19" t="s">
        <v>129</v>
      </c>
      <c r="K51" s="19" t="b">
        <v>1</v>
      </c>
      <c r="L51" s="15">
        <v>2013</v>
      </c>
      <c r="M51" s="16">
        <v>110091.68</v>
      </c>
      <c r="N51" s="16">
        <v>198689.69</v>
      </c>
      <c r="O51" s="16">
        <v>308457.4</v>
      </c>
      <c r="P51" s="16">
        <v>292199.16</v>
      </c>
      <c r="Q51" s="20">
        <v>41443</v>
      </c>
      <c r="R51" s="20">
        <v>41443</v>
      </c>
    </row>
    <row r="52" spans="1:18" ht="14.25">
      <c r="A52" s="17">
        <v>2013</v>
      </c>
      <c r="B52" s="18" t="s">
        <v>473</v>
      </c>
      <c r="C52" s="18" t="s">
        <v>474</v>
      </c>
      <c r="D52" s="19">
        <v>1008042</v>
      </c>
      <c r="E52" s="19">
        <v>2</v>
      </c>
      <c r="F52" s="19"/>
      <c r="G52" s="19">
        <v>80</v>
      </c>
      <c r="H52" s="19" t="s">
        <v>58</v>
      </c>
      <c r="I52" s="19"/>
      <c r="J52" s="19" t="s">
        <v>59</v>
      </c>
      <c r="K52" s="19" t="b">
        <v>1</v>
      </c>
      <c r="L52" s="15">
        <v>2013</v>
      </c>
      <c r="M52" s="16">
        <v>2496222.69</v>
      </c>
      <c r="N52" s="16">
        <v>2345365.64</v>
      </c>
      <c r="O52" s="16">
        <v>2463465.4</v>
      </c>
      <c r="P52" s="16">
        <v>2343158.4</v>
      </c>
      <c r="Q52" s="20">
        <v>41443</v>
      </c>
      <c r="R52" s="20">
        <v>41443</v>
      </c>
    </row>
    <row r="53" spans="1:18" ht="14.25">
      <c r="A53" s="17">
        <v>2013</v>
      </c>
      <c r="B53" s="18" t="s">
        <v>473</v>
      </c>
      <c r="C53" s="18" t="s">
        <v>474</v>
      </c>
      <c r="D53" s="19">
        <v>1008042</v>
      </c>
      <c r="E53" s="19">
        <v>2</v>
      </c>
      <c r="F53" s="19"/>
      <c r="G53" s="19">
        <v>380</v>
      </c>
      <c r="H53" s="19">
        <v>6.2</v>
      </c>
      <c r="I53" s="19" t="s">
        <v>477</v>
      </c>
      <c r="J53" s="19" t="s">
        <v>97</v>
      </c>
      <c r="K53" s="19" t="b">
        <v>0</v>
      </c>
      <c r="L53" s="15">
        <v>2013</v>
      </c>
      <c r="M53" s="16">
        <v>0.3527</v>
      </c>
      <c r="N53" s="16">
        <v>0.3621</v>
      </c>
      <c r="O53" s="16">
        <v>0.3482</v>
      </c>
      <c r="P53" s="16">
        <v>0.2784</v>
      </c>
      <c r="Q53" s="20">
        <v>41443</v>
      </c>
      <c r="R53" s="20">
        <v>41443</v>
      </c>
    </row>
    <row r="54" spans="1:18" ht="14.25">
      <c r="A54" s="17">
        <v>2013</v>
      </c>
      <c r="B54" s="18" t="s">
        <v>473</v>
      </c>
      <c r="C54" s="18" t="s">
        <v>474</v>
      </c>
      <c r="D54" s="19">
        <v>1008042</v>
      </c>
      <c r="E54" s="19">
        <v>2</v>
      </c>
      <c r="F54" s="19"/>
      <c r="G54" s="19">
        <v>910</v>
      </c>
      <c r="H54" s="19" t="s">
        <v>161</v>
      </c>
      <c r="I54" s="19"/>
      <c r="J54" s="19" t="s">
        <v>162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41443</v>
      </c>
      <c r="R54" s="20">
        <v>41443</v>
      </c>
    </row>
    <row r="55" spans="1:18" ht="14.25">
      <c r="A55" s="17">
        <v>2013</v>
      </c>
      <c r="B55" s="18" t="s">
        <v>473</v>
      </c>
      <c r="C55" s="18" t="s">
        <v>474</v>
      </c>
      <c r="D55" s="19">
        <v>1008042</v>
      </c>
      <c r="E55" s="19">
        <v>2</v>
      </c>
      <c r="F55" s="19"/>
      <c r="G55" s="19">
        <v>840</v>
      </c>
      <c r="H55" s="19">
        <v>13.5</v>
      </c>
      <c r="I55" s="19"/>
      <c r="J55" s="19" t="s">
        <v>154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41443</v>
      </c>
      <c r="R55" s="20">
        <v>41443</v>
      </c>
    </row>
    <row r="56" spans="1:18" ht="14.25">
      <c r="A56" s="17">
        <v>2013</v>
      </c>
      <c r="B56" s="18" t="s">
        <v>473</v>
      </c>
      <c r="C56" s="18" t="s">
        <v>474</v>
      </c>
      <c r="D56" s="19">
        <v>1008042</v>
      </c>
      <c r="E56" s="19">
        <v>2</v>
      </c>
      <c r="F56" s="19"/>
      <c r="G56" s="19">
        <v>50</v>
      </c>
      <c r="H56" s="19" t="s">
        <v>52</v>
      </c>
      <c r="I56" s="19"/>
      <c r="J56" s="19" t="s">
        <v>53</v>
      </c>
      <c r="K56" s="19" t="b">
        <v>1</v>
      </c>
      <c r="L56" s="15">
        <v>2013</v>
      </c>
      <c r="M56" s="16">
        <v>3145339.71</v>
      </c>
      <c r="N56" s="16">
        <v>3555780.16</v>
      </c>
      <c r="O56" s="16">
        <v>3628692</v>
      </c>
      <c r="P56" s="16">
        <v>4152975.19</v>
      </c>
      <c r="Q56" s="20">
        <v>41443</v>
      </c>
      <c r="R56" s="20">
        <v>41443</v>
      </c>
    </row>
    <row r="57" spans="1:18" ht="14.25">
      <c r="A57" s="17">
        <v>2013</v>
      </c>
      <c r="B57" s="18" t="s">
        <v>473</v>
      </c>
      <c r="C57" s="18" t="s">
        <v>474</v>
      </c>
      <c r="D57" s="19">
        <v>1008042</v>
      </c>
      <c r="E57" s="19">
        <v>2</v>
      </c>
      <c r="F57" s="19"/>
      <c r="G57" s="19">
        <v>220</v>
      </c>
      <c r="H57" s="19">
        <v>4.1</v>
      </c>
      <c r="I57" s="19"/>
      <c r="J57" s="19" t="s">
        <v>77</v>
      </c>
      <c r="K57" s="19" t="b">
        <v>0</v>
      </c>
      <c r="L57" s="15">
        <v>2013</v>
      </c>
      <c r="M57" s="16">
        <v>0</v>
      </c>
      <c r="N57" s="16">
        <v>0</v>
      </c>
      <c r="O57" s="16">
        <v>369699.82</v>
      </c>
      <c r="P57" s="16">
        <v>0</v>
      </c>
      <c r="Q57" s="20">
        <v>41443</v>
      </c>
      <c r="R57" s="20">
        <v>41443</v>
      </c>
    </row>
    <row r="58" spans="1:18" ht="14.25">
      <c r="A58" s="17">
        <v>2013</v>
      </c>
      <c r="B58" s="18" t="s">
        <v>473</v>
      </c>
      <c r="C58" s="18" t="s">
        <v>474</v>
      </c>
      <c r="D58" s="19">
        <v>1008042</v>
      </c>
      <c r="E58" s="19">
        <v>2</v>
      </c>
      <c r="F58" s="19"/>
      <c r="G58" s="19">
        <v>170</v>
      </c>
      <c r="H58" s="19" t="s">
        <v>72</v>
      </c>
      <c r="I58" s="19"/>
      <c r="J58" s="19" t="s">
        <v>73</v>
      </c>
      <c r="K58" s="19" t="b">
        <v>1</v>
      </c>
      <c r="L58" s="15">
        <v>2013</v>
      </c>
      <c r="M58" s="16">
        <v>244338.5</v>
      </c>
      <c r="N58" s="16">
        <v>353126.69</v>
      </c>
      <c r="O58" s="16">
        <v>400000</v>
      </c>
      <c r="P58" s="16">
        <v>372355.15</v>
      </c>
      <c r="Q58" s="20">
        <v>41443</v>
      </c>
      <c r="R58" s="20">
        <v>41443</v>
      </c>
    </row>
    <row r="59" spans="1:18" ht="14.25">
      <c r="A59" s="17">
        <v>2013</v>
      </c>
      <c r="B59" s="18" t="s">
        <v>473</v>
      </c>
      <c r="C59" s="18" t="s">
        <v>474</v>
      </c>
      <c r="D59" s="19">
        <v>1008042</v>
      </c>
      <c r="E59" s="19">
        <v>2</v>
      </c>
      <c r="F59" s="19"/>
      <c r="G59" s="19">
        <v>870</v>
      </c>
      <c r="H59" s="19">
        <v>14</v>
      </c>
      <c r="I59" s="19"/>
      <c r="J59" s="19" t="s">
        <v>157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41443</v>
      </c>
      <c r="R59" s="20">
        <v>41443</v>
      </c>
    </row>
    <row r="60" spans="1:18" ht="14.25">
      <c r="A60" s="17">
        <v>2013</v>
      </c>
      <c r="B60" s="18" t="s">
        <v>473</v>
      </c>
      <c r="C60" s="18" t="s">
        <v>474</v>
      </c>
      <c r="D60" s="19">
        <v>1008042</v>
      </c>
      <c r="E60" s="19">
        <v>2</v>
      </c>
      <c r="F60" s="19"/>
      <c r="G60" s="19">
        <v>410</v>
      </c>
      <c r="H60" s="19">
        <v>8</v>
      </c>
      <c r="I60" s="19"/>
      <c r="J60" s="19" t="s">
        <v>181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41443</v>
      </c>
      <c r="R60" s="20">
        <v>41443</v>
      </c>
    </row>
    <row r="61" spans="1:18" ht="14.25">
      <c r="A61" s="17">
        <v>2013</v>
      </c>
      <c r="B61" s="18" t="s">
        <v>473</v>
      </c>
      <c r="C61" s="18" t="s">
        <v>474</v>
      </c>
      <c r="D61" s="19">
        <v>1008042</v>
      </c>
      <c r="E61" s="19">
        <v>2</v>
      </c>
      <c r="F61" s="19"/>
      <c r="G61" s="19">
        <v>440</v>
      </c>
      <c r="H61" s="19">
        <v>9</v>
      </c>
      <c r="I61" s="19"/>
      <c r="J61" s="19" t="s">
        <v>184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41443</v>
      </c>
      <c r="R61" s="20">
        <v>41443</v>
      </c>
    </row>
    <row r="62" spans="1:18" ht="14.25">
      <c r="A62" s="17">
        <v>2013</v>
      </c>
      <c r="B62" s="18" t="s">
        <v>473</v>
      </c>
      <c r="C62" s="18" t="s">
        <v>474</v>
      </c>
      <c r="D62" s="19">
        <v>1008042</v>
      </c>
      <c r="E62" s="19">
        <v>2</v>
      </c>
      <c r="F62" s="19"/>
      <c r="G62" s="19">
        <v>110</v>
      </c>
      <c r="H62" s="19" t="s">
        <v>63</v>
      </c>
      <c r="I62" s="19"/>
      <c r="J62" s="19" t="s">
        <v>64</v>
      </c>
      <c r="K62" s="19" t="b">
        <v>1</v>
      </c>
      <c r="L62" s="15">
        <v>2013</v>
      </c>
      <c r="M62" s="16">
        <v>949639.8</v>
      </c>
      <c r="N62" s="16">
        <v>157323</v>
      </c>
      <c r="O62" s="16">
        <v>431774</v>
      </c>
      <c r="P62" s="16">
        <v>446255</v>
      </c>
      <c r="Q62" s="20">
        <v>41443</v>
      </c>
      <c r="R62" s="20">
        <v>41443</v>
      </c>
    </row>
    <row r="63" spans="1:18" ht="14.25">
      <c r="A63" s="17">
        <v>2013</v>
      </c>
      <c r="B63" s="18" t="s">
        <v>473</v>
      </c>
      <c r="C63" s="18" t="s">
        <v>474</v>
      </c>
      <c r="D63" s="19">
        <v>1008042</v>
      </c>
      <c r="E63" s="19">
        <v>2</v>
      </c>
      <c r="F63" s="19"/>
      <c r="G63" s="19">
        <v>290</v>
      </c>
      <c r="H63" s="19" t="s">
        <v>86</v>
      </c>
      <c r="I63" s="19"/>
      <c r="J63" s="19" t="s">
        <v>82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41443</v>
      </c>
      <c r="R63" s="20">
        <v>41443</v>
      </c>
    </row>
    <row r="64" spans="1:18" ht="14.25">
      <c r="A64" s="17">
        <v>2013</v>
      </c>
      <c r="B64" s="18" t="s">
        <v>473</v>
      </c>
      <c r="C64" s="18" t="s">
        <v>474</v>
      </c>
      <c r="D64" s="19">
        <v>1008042</v>
      </c>
      <c r="E64" s="19">
        <v>2</v>
      </c>
      <c r="F64" s="19"/>
      <c r="G64" s="19">
        <v>940</v>
      </c>
      <c r="H64" s="19">
        <v>14.4</v>
      </c>
      <c r="I64" s="19"/>
      <c r="J64" s="19" t="s">
        <v>167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210000</v>
      </c>
      <c r="Q64" s="20">
        <v>41443</v>
      </c>
      <c r="R64" s="20">
        <v>41443</v>
      </c>
    </row>
    <row r="65" spans="1:18" ht="14.25">
      <c r="A65" s="17">
        <v>2013</v>
      </c>
      <c r="B65" s="18" t="s">
        <v>473</v>
      </c>
      <c r="C65" s="18" t="s">
        <v>474</v>
      </c>
      <c r="D65" s="19">
        <v>1008042</v>
      </c>
      <c r="E65" s="19">
        <v>2</v>
      </c>
      <c r="F65" s="19"/>
      <c r="G65" s="19">
        <v>360</v>
      </c>
      <c r="H65" s="19">
        <v>6.1</v>
      </c>
      <c r="I65" s="19"/>
      <c r="J65" s="19" t="s">
        <v>495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41443</v>
      </c>
      <c r="R65" s="20">
        <v>41443</v>
      </c>
    </row>
    <row r="66" spans="1:18" ht="14.25">
      <c r="A66" s="17">
        <v>2013</v>
      </c>
      <c r="B66" s="18" t="s">
        <v>473</v>
      </c>
      <c r="C66" s="18" t="s">
        <v>474</v>
      </c>
      <c r="D66" s="19">
        <v>1008042</v>
      </c>
      <c r="E66" s="19">
        <v>2</v>
      </c>
      <c r="F66" s="19"/>
      <c r="G66" s="19">
        <v>100</v>
      </c>
      <c r="H66" s="19" t="s">
        <v>61</v>
      </c>
      <c r="I66" s="19"/>
      <c r="J66" s="19" t="s">
        <v>62</v>
      </c>
      <c r="K66" s="19" t="b">
        <v>1</v>
      </c>
      <c r="L66" s="15">
        <v>2013</v>
      </c>
      <c r="M66" s="16">
        <v>52388.02</v>
      </c>
      <c r="N66" s="16">
        <v>14482.02</v>
      </c>
      <c r="O66" s="16">
        <v>135000</v>
      </c>
      <c r="P66" s="16">
        <v>0</v>
      </c>
      <c r="Q66" s="20">
        <v>41443</v>
      </c>
      <c r="R66" s="20">
        <v>41443</v>
      </c>
    </row>
    <row r="67" spans="1:18" ht="14.25">
      <c r="A67" s="17">
        <v>2013</v>
      </c>
      <c r="B67" s="18" t="s">
        <v>473</v>
      </c>
      <c r="C67" s="18" t="s">
        <v>474</v>
      </c>
      <c r="D67" s="19">
        <v>1008042</v>
      </c>
      <c r="E67" s="19">
        <v>2</v>
      </c>
      <c r="F67" s="19"/>
      <c r="G67" s="19">
        <v>400</v>
      </c>
      <c r="H67" s="19">
        <v>7</v>
      </c>
      <c r="I67" s="19"/>
      <c r="J67" s="19" t="s">
        <v>99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41443</v>
      </c>
      <c r="R67" s="20">
        <v>41443</v>
      </c>
    </row>
    <row r="68" spans="1:18" ht="14.25">
      <c r="A68" s="17">
        <v>2013</v>
      </c>
      <c r="B68" s="18" t="s">
        <v>473</v>
      </c>
      <c r="C68" s="18" t="s">
        <v>474</v>
      </c>
      <c r="D68" s="19">
        <v>1008042</v>
      </c>
      <c r="E68" s="19">
        <v>2</v>
      </c>
      <c r="F68" s="19"/>
      <c r="G68" s="19">
        <v>560</v>
      </c>
      <c r="H68" s="19">
        <v>10.1</v>
      </c>
      <c r="I68" s="19"/>
      <c r="J68" s="19" t="s">
        <v>116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41443</v>
      </c>
      <c r="R68" s="20">
        <v>41443</v>
      </c>
    </row>
    <row r="69" spans="1:18" ht="14.25">
      <c r="A69" s="17">
        <v>2013</v>
      </c>
      <c r="B69" s="18" t="s">
        <v>473</v>
      </c>
      <c r="C69" s="18" t="s">
        <v>474</v>
      </c>
      <c r="D69" s="19">
        <v>1008042</v>
      </c>
      <c r="E69" s="19">
        <v>2</v>
      </c>
      <c r="F69" s="19"/>
      <c r="G69" s="19">
        <v>130</v>
      </c>
      <c r="H69" s="19">
        <v>2.1</v>
      </c>
      <c r="I69" s="19"/>
      <c r="J69" s="19" t="s">
        <v>65</v>
      </c>
      <c r="K69" s="19" t="b">
        <v>1</v>
      </c>
      <c r="L69" s="15">
        <v>2013</v>
      </c>
      <c r="M69" s="16">
        <v>15346594.47</v>
      </c>
      <c r="N69" s="16">
        <v>15872280.15</v>
      </c>
      <c r="O69" s="16">
        <v>18580553.4</v>
      </c>
      <c r="P69" s="16">
        <v>17217700.41</v>
      </c>
      <c r="Q69" s="20">
        <v>41443</v>
      </c>
      <c r="R69" s="20">
        <v>41443</v>
      </c>
    </row>
    <row r="70" spans="1:18" ht="14.25">
      <c r="A70" s="17">
        <v>2013</v>
      </c>
      <c r="B70" s="18" t="s">
        <v>473</v>
      </c>
      <c r="C70" s="18" t="s">
        <v>474</v>
      </c>
      <c r="D70" s="19">
        <v>1008042</v>
      </c>
      <c r="E70" s="19">
        <v>2</v>
      </c>
      <c r="F70" s="19"/>
      <c r="G70" s="19">
        <v>650</v>
      </c>
      <c r="H70" s="19">
        <v>11.6</v>
      </c>
      <c r="I70" s="19"/>
      <c r="J70" s="19" t="s">
        <v>127</v>
      </c>
      <c r="K70" s="19" t="b">
        <v>1</v>
      </c>
      <c r="L70" s="15">
        <v>2013</v>
      </c>
      <c r="M70" s="16">
        <v>0</v>
      </c>
      <c r="N70" s="16">
        <v>30000</v>
      </c>
      <c r="O70" s="16">
        <v>15000</v>
      </c>
      <c r="P70" s="16">
        <v>15000</v>
      </c>
      <c r="Q70" s="20">
        <v>41443</v>
      </c>
      <c r="R70" s="20">
        <v>41443</v>
      </c>
    </row>
    <row r="71" spans="1:18" ht="14.25">
      <c r="A71" s="17">
        <v>2013</v>
      </c>
      <c r="B71" s="18" t="s">
        <v>473</v>
      </c>
      <c r="C71" s="18" t="s">
        <v>474</v>
      </c>
      <c r="D71" s="19">
        <v>1008042</v>
      </c>
      <c r="E71" s="19">
        <v>2</v>
      </c>
      <c r="F71" s="19"/>
      <c r="G71" s="19">
        <v>90</v>
      </c>
      <c r="H71" s="19">
        <v>1.2</v>
      </c>
      <c r="I71" s="19"/>
      <c r="J71" s="19" t="s">
        <v>60</v>
      </c>
      <c r="K71" s="19" t="b">
        <v>1</v>
      </c>
      <c r="L71" s="15">
        <v>2013</v>
      </c>
      <c r="M71" s="16">
        <v>1002027.82</v>
      </c>
      <c r="N71" s="16">
        <v>171805.02</v>
      </c>
      <c r="O71" s="16">
        <v>566774</v>
      </c>
      <c r="P71" s="16">
        <v>446255</v>
      </c>
      <c r="Q71" s="20">
        <v>41443</v>
      </c>
      <c r="R71" s="20">
        <v>41443</v>
      </c>
    </row>
    <row r="72" spans="1:18" ht="14.25">
      <c r="A72" s="17">
        <v>2013</v>
      </c>
      <c r="B72" s="18" t="s">
        <v>473</v>
      </c>
      <c r="C72" s="18" t="s">
        <v>474</v>
      </c>
      <c r="D72" s="19">
        <v>1008042</v>
      </c>
      <c r="E72" s="19">
        <v>2</v>
      </c>
      <c r="F72" s="19"/>
      <c r="G72" s="19">
        <v>820</v>
      </c>
      <c r="H72" s="19">
        <v>13.3</v>
      </c>
      <c r="I72" s="19"/>
      <c r="J72" s="19" t="s">
        <v>152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41443</v>
      </c>
      <c r="R72" s="20">
        <v>41443</v>
      </c>
    </row>
    <row r="73" spans="1:18" ht="14.25">
      <c r="A73" s="17">
        <v>2013</v>
      </c>
      <c r="B73" s="18" t="s">
        <v>473</v>
      </c>
      <c r="C73" s="18" t="s">
        <v>474</v>
      </c>
      <c r="D73" s="19">
        <v>1008042</v>
      </c>
      <c r="E73" s="19">
        <v>2</v>
      </c>
      <c r="F73" s="19"/>
      <c r="G73" s="19">
        <v>150</v>
      </c>
      <c r="H73" s="19" t="s">
        <v>68</v>
      </c>
      <c r="I73" s="19"/>
      <c r="J73" s="19" t="s">
        <v>69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41443</v>
      </c>
      <c r="R73" s="20">
        <v>41443</v>
      </c>
    </row>
    <row r="74" spans="1:18" ht="14.25">
      <c r="A74" s="17">
        <v>2013</v>
      </c>
      <c r="B74" s="18" t="s">
        <v>473</v>
      </c>
      <c r="C74" s="18" t="s">
        <v>474</v>
      </c>
      <c r="D74" s="19">
        <v>1008042</v>
      </c>
      <c r="E74" s="19">
        <v>2</v>
      </c>
      <c r="F74" s="19"/>
      <c r="G74" s="19">
        <v>340</v>
      </c>
      <c r="H74" s="19">
        <v>5.2</v>
      </c>
      <c r="I74" s="19"/>
      <c r="J74" s="19" t="s">
        <v>93</v>
      </c>
      <c r="K74" s="19" t="b">
        <v>0</v>
      </c>
      <c r="L74" s="15">
        <v>2013</v>
      </c>
      <c r="M74" s="16">
        <v>0</v>
      </c>
      <c r="N74" s="16">
        <v>0</v>
      </c>
      <c r="O74" s="16">
        <v>0</v>
      </c>
      <c r="P74" s="16">
        <v>0</v>
      </c>
      <c r="Q74" s="20">
        <v>41443</v>
      </c>
      <c r="R74" s="20">
        <v>41443</v>
      </c>
    </row>
    <row r="75" spans="1:18" ht="14.25">
      <c r="A75" s="17">
        <v>2013</v>
      </c>
      <c r="B75" s="18" t="s">
        <v>473</v>
      </c>
      <c r="C75" s="18" t="s">
        <v>474</v>
      </c>
      <c r="D75" s="19">
        <v>1008042</v>
      </c>
      <c r="E75" s="19">
        <v>2</v>
      </c>
      <c r="F75" s="19"/>
      <c r="G75" s="19">
        <v>250</v>
      </c>
      <c r="H75" s="19" t="s">
        <v>81</v>
      </c>
      <c r="I75" s="19"/>
      <c r="J75" s="19" t="s">
        <v>82</v>
      </c>
      <c r="K75" s="19" t="b">
        <v>0</v>
      </c>
      <c r="L75" s="15">
        <v>2013</v>
      </c>
      <c r="M75" s="16">
        <v>46521.02</v>
      </c>
      <c r="N75" s="16">
        <v>0</v>
      </c>
      <c r="O75" s="16">
        <v>430300.18</v>
      </c>
      <c r="P75" s="16">
        <v>0</v>
      </c>
      <c r="Q75" s="20">
        <v>41443</v>
      </c>
      <c r="R75" s="20">
        <v>41443</v>
      </c>
    </row>
    <row r="76" spans="1:18" ht="14.25">
      <c r="A76" s="17">
        <v>2013</v>
      </c>
      <c r="B76" s="18" t="s">
        <v>473</v>
      </c>
      <c r="C76" s="18" t="s">
        <v>474</v>
      </c>
      <c r="D76" s="19">
        <v>1008042</v>
      </c>
      <c r="E76" s="19">
        <v>2</v>
      </c>
      <c r="F76" s="19"/>
      <c r="G76" s="19">
        <v>370</v>
      </c>
      <c r="H76" s="19" t="s">
        <v>95</v>
      </c>
      <c r="I76" s="19"/>
      <c r="J76" s="19" t="s">
        <v>96</v>
      </c>
      <c r="K76" s="19" t="b">
        <v>1</v>
      </c>
      <c r="L76" s="15">
        <v>2013</v>
      </c>
      <c r="M76" s="16">
        <v>0</v>
      </c>
      <c r="N76" s="16">
        <v>0</v>
      </c>
      <c r="O76" s="16">
        <v>0</v>
      </c>
      <c r="P76" s="16">
        <v>0</v>
      </c>
      <c r="Q76" s="20">
        <v>41443</v>
      </c>
      <c r="R76" s="20">
        <v>41443</v>
      </c>
    </row>
    <row r="77" spans="1:18" ht="14.25">
      <c r="A77" s="17">
        <v>2013</v>
      </c>
      <c r="B77" s="18" t="s">
        <v>473</v>
      </c>
      <c r="C77" s="18" t="s">
        <v>474</v>
      </c>
      <c r="D77" s="19">
        <v>1008042</v>
      </c>
      <c r="E77" s="19">
        <v>2</v>
      </c>
      <c r="F77" s="19"/>
      <c r="G77" s="19">
        <v>750</v>
      </c>
      <c r="H77" s="19" t="s">
        <v>142</v>
      </c>
      <c r="I77" s="19"/>
      <c r="J77" s="19" t="s">
        <v>143</v>
      </c>
      <c r="K77" s="19" t="b">
        <v>0</v>
      </c>
      <c r="L77" s="15">
        <v>2013</v>
      </c>
      <c r="M77" s="16">
        <v>182966.04</v>
      </c>
      <c r="N77" s="16">
        <v>194043.54</v>
      </c>
      <c r="O77" s="16">
        <v>318803.51</v>
      </c>
      <c r="P77" s="16">
        <v>304034.2</v>
      </c>
      <c r="Q77" s="20">
        <v>41443</v>
      </c>
      <c r="R77" s="20">
        <v>41443</v>
      </c>
    </row>
    <row r="78" spans="1:18" ht="14.25">
      <c r="A78" s="17">
        <v>2013</v>
      </c>
      <c r="B78" s="18" t="s">
        <v>473</v>
      </c>
      <c r="C78" s="18" t="s">
        <v>474</v>
      </c>
      <c r="D78" s="19">
        <v>1008042</v>
      </c>
      <c r="E78" s="19">
        <v>2</v>
      </c>
      <c r="F78" s="19"/>
      <c r="G78" s="19">
        <v>420</v>
      </c>
      <c r="H78" s="19">
        <v>8.1</v>
      </c>
      <c r="I78" s="19" t="s">
        <v>486</v>
      </c>
      <c r="J78" s="19" t="s">
        <v>100</v>
      </c>
      <c r="K78" s="19" t="b">
        <v>0</v>
      </c>
      <c r="L78" s="15">
        <v>2013</v>
      </c>
      <c r="M78" s="16">
        <v>1036282.82</v>
      </c>
      <c r="N78" s="16">
        <v>1598338.12</v>
      </c>
      <c r="O78" s="16">
        <v>70251</v>
      </c>
      <c r="P78" s="16">
        <v>1837399.21</v>
      </c>
      <c r="Q78" s="20">
        <v>41443</v>
      </c>
      <c r="R78" s="20">
        <v>41443</v>
      </c>
    </row>
    <row r="79" spans="1:18" ht="14.25">
      <c r="A79" s="17">
        <v>2013</v>
      </c>
      <c r="B79" s="18" t="s">
        <v>473</v>
      </c>
      <c r="C79" s="18" t="s">
        <v>474</v>
      </c>
      <c r="D79" s="19">
        <v>1008042</v>
      </c>
      <c r="E79" s="19">
        <v>2</v>
      </c>
      <c r="F79" s="19"/>
      <c r="G79" s="19">
        <v>610</v>
      </c>
      <c r="H79" s="19" t="s">
        <v>121</v>
      </c>
      <c r="I79" s="19"/>
      <c r="J79" s="19" t="s">
        <v>122</v>
      </c>
      <c r="K79" s="19" t="b">
        <v>1</v>
      </c>
      <c r="L79" s="15">
        <v>2013</v>
      </c>
      <c r="M79" s="16">
        <v>0</v>
      </c>
      <c r="N79" s="16">
        <v>872755.56</v>
      </c>
      <c r="O79" s="16">
        <v>1249082.52</v>
      </c>
      <c r="P79" s="16">
        <v>1090480.13</v>
      </c>
      <c r="Q79" s="20">
        <v>41443</v>
      </c>
      <c r="R79" s="20">
        <v>41443</v>
      </c>
    </row>
    <row r="80" spans="1:18" ht="14.25">
      <c r="A80" s="17">
        <v>2013</v>
      </c>
      <c r="B80" s="18" t="s">
        <v>473</v>
      </c>
      <c r="C80" s="18" t="s">
        <v>474</v>
      </c>
      <c r="D80" s="19">
        <v>1008042</v>
      </c>
      <c r="E80" s="19">
        <v>2</v>
      </c>
      <c r="F80" s="19"/>
      <c r="G80" s="19">
        <v>590</v>
      </c>
      <c r="H80" s="19">
        <v>11.2</v>
      </c>
      <c r="I80" s="19"/>
      <c r="J80" s="19" t="s">
        <v>119</v>
      </c>
      <c r="K80" s="19" t="b">
        <v>1</v>
      </c>
      <c r="L80" s="15">
        <v>2013</v>
      </c>
      <c r="M80" s="16">
        <v>1825942.07</v>
      </c>
      <c r="N80" s="16">
        <v>2071878.64</v>
      </c>
      <c r="O80" s="16">
        <v>0</v>
      </c>
      <c r="P80" s="16">
        <v>2189993.38</v>
      </c>
      <c r="Q80" s="20">
        <v>41443</v>
      </c>
      <c r="R80" s="20">
        <v>41443</v>
      </c>
    </row>
    <row r="81" spans="1:18" ht="14.25">
      <c r="A81" s="17">
        <v>2013</v>
      </c>
      <c r="B81" s="18" t="s">
        <v>473</v>
      </c>
      <c r="C81" s="18" t="s">
        <v>474</v>
      </c>
      <c r="D81" s="19">
        <v>1008042</v>
      </c>
      <c r="E81" s="19">
        <v>2</v>
      </c>
      <c r="F81" s="19"/>
      <c r="G81" s="19">
        <v>880</v>
      </c>
      <c r="H81" s="19">
        <v>14.1</v>
      </c>
      <c r="I81" s="19"/>
      <c r="J81" s="19" t="s">
        <v>158</v>
      </c>
      <c r="K81" s="19" t="b">
        <v>1</v>
      </c>
      <c r="L81" s="15">
        <v>2013</v>
      </c>
      <c r="M81" s="16">
        <v>1020254.44</v>
      </c>
      <c r="N81" s="16">
        <v>1242259.44</v>
      </c>
      <c r="O81" s="16">
        <v>1049260</v>
      </c>
      <c r="P81" s="16">
        <v>1049259.44</v>
      </c>
      <c r="Q81" s="20">
        <v>41443</v>
      </c>
      <c r="R81" s="20">
        <v>41443</v>
      </c>
    </row>
    <row r="82" spans="1:18" ht="14.25">
      <c r="A82" s="17">
        <v>2013</v>
      </c>
      <c r="B82" s="18" t="s">
        <v>473</v>
      </c>
      <c r="C82" s="18" t="s">
        <v>474</v>
      </c>
      <c r="D82" s="19">
        <v>1008042</v>
      </c>
      <c r="E82" s="19">
        <v>2</v>
      </c>
      <c r="F82" s="19"/>
      <c r="G82" s="19">
        <v>450</v>
      </c>
      <c r="H82" s="19">
        <v>9.1</v>
      </c>
      <c r="I82" s="19" t="s">
        <v>480</v>
      </c>
      <c r="J82" s="19" t="s">
        <v>102</v>
      </c>
      <c r="K82" s="19" t="b">
        <v>1</v>
      </c>
      <c r="L82" s="15">
        <v>2013</v>
      </c>
      <c r="M82" s="16">
        <v>0.0727</v>
      </c>
      <c r="N82" s="16">
        <v>0.0904</v>
      </c>
      <c r="O82" s="16">
        <v>0.0754</v>
      </c>
      <c r="P82" s="16">
        <v>0.0729</v>
      </c>
      <c r="Q82" s="20">
        <v>41443</v>
      </c>
      <c r="R82" s="20">
        <v>41443</v>
      </c>
    </row>
    <row r="83" spans="1:18" ht="14.25">
      <c r="A83" s="17">
        <v>2013</v>
      </c>
      <c r="B83" s="18" t="s">
        <v>473</v>
      </c>
      <c r="C83" s="18" t="s">
        <v>474</v>
      </c>
      <c r="D83" s="19">
        <v>1008042</v>
      </c>
      <c r="E83" s="19">
        <v>2</v>
      </c>
      <c r="F83" s="19"/>
      <c r="G83" s="19">
        <v>600</v>
      </c>
      <c r="H83" s="19">
        <v>11.3</v>
      </c>
      <c r="I83" s="19" t="s">
        <v>476</v>
      </c>
      <c r="J83" s="19" t="s">
        <v>120</v>
      </c>
      <c r="K83" s="19" t="b">
        <v>1</v>
      </c>
      <c r="L83" s="15">
        <v>2013</v>
      </c>
      <c r="M83" s="16">
        <v>0</v>
      </c>
      <c r="N83" s="16">
        <v>1181194.11</v>
      </c>
      <c r="O83" s="16">
        <v>2327042.52</v>
      </c>
      <c r="P83" s="16">
        <v>1719913.32</v>
      </c>
      <c r="Q83" s="20">
        <v>41443</v>
      </c>
      <c r="R83" s="20">
        <v>41443</v>
      </c>
    </row>
    <row r="84" spans="1:18" ht="14.25">
      <c r="A84" s="17">
        <v>2013</v>
      </c>
      <c r="B84" s="18" t="s">
        <v>473</v>
      </c>
      <c r="C84" s="18" t="s">
        <v>474</v>
      </c>
      <c r="D84" s="19">
        <v>1008042</v>
      </c>
      <c r="E84" s="19">
        <v>2</v>
      </c>
      <c r="F84" s="19"/>
      <c r="G84" s="19">
        <v>120</v>
      </c>
      <c r="H84" s="19">
        <v>2</v>
      </c>
      <c r="I84" s="19" t="s">
        <v>487</v>
      </c>
      <c r="J84" s="19" t="s">
        <v>21</v>
      </c>
      <c r="K84" s="19" t="b">
        <v>0</v>
      </c>
      <c r="L84" s="15">
        <v>2013</v>
      </c>
      <c r="M84" s="16">
        <v>18629353.13</v>
      </c>
      <c r="N84" s="16">
        <v>17272723.47</v>
      </c>
      <c r="O84" s="16">
        <v>20320503.4</v>
      </c>
      <c r="P84" s="16">
        <v>18374916.42</v>
      </c>
      <c r="Q84" s="20">
        <v>41443</v>
      </c>
      <c r="R84" s="20">
        <v>41443</v>
      </c>
    </row>
    <row r="85" spans="1:18" ht="14.25">
      <c r="A85" s="17">
        <v>2013</v>
      </c>
      <c r="B85" s="18" t="s">
        <v>473</v>
      </c>
      <c r="C85" s="18" t="s">
        <v>474</v>
      </c>
      <c r="D85" s="19">
        <v>1008042</v>
      </c>
      <c r="E85" s="19">
        <v>2</v>
      </c>
      <c r="F85" s="19"/>
      <c r="G85" s="19">
        <v>430</v>
      </c>
      <c r="H85" s="19">
        <v>8.2</v>
      </c>
      <c r="I85" s="19" t="s">
        <v>490</v>
      </c>
      <c r="J85" s="19" t="s">
        <v>101</v>
      </c>
      <c r="K85" s="19" t="b">
        <v>0</v>
      </c>
      <c r="L85" s="15">
        <v>2013</v>
      </c>
      <c r="M85" s="16">
        <v>1703058.84</v>
      </c>
      <c r="N85" s="16">
        <v>1900411.68</v>
      </c>
      <c r="O85" s="16">
        <v>870251</v>
      </c>
      <c r="P85" s="16">
        <v>2766913.15</v>
      </c>
      <c r="Q85" s="20">
        <v>41443</v>
      </c>
      <c r="R85" s="20">
        <v>41443</v>
      </c>
    </row>
    <row r="86" spans="1:18" ht="14.25">
      <c r="A86" s="17">
        <v>2013</v>
      </c>
      <c r="B86" s="18" t="s">
        <v>473</v>
      </c>
      <c r="C86" s="18" t="s">
        <v>474</v>
      </c>
      <c r="D86" s="19">
        <v>1008042</v>
      </c>
      <c r="E86" s="19">
        <v>2</v>
      </c>
      <c r="F86" s="19"/>
      <c r="G86" s="19">
        <v>850</v>
      </c>
      <c r="H86" s="19">
        <v>13.6</v>
      </c>
      <c r="I86" s="19"/>
      <c r="J86" s="19" t="s">
        <v>155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41443</v>
      </c>
      <c r="R86" s="20">
        <v>41443</v>
      </c>
    </row>
    <row r="87" spans="1:18" ht="14.25">
      <c r="A87" s="17">
        <v>2013</v>
      </c>
      <c r="B87" s="18" t="s">
        <v>473</v>
      </c>
      <c r="C87" s="18" t="s">
        <v>474</v>
      </c>
      <c r="D87" s="19">
        <v>1008042</v>
      </c>
      <c r="E87" s="19">
        <v>2</v>
      </c>
      <c r="F87" s="19"/>
      <c r="G87" s="19">
        <v>660</v>
      </c>
      <c r="H87" s="19">
        <v>12</v>
      </c>
      <c r="I87" s="19"/>
      <c r="J87" s="19" t="s">
        <v>128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41443</v>
      </c>
      <c r="R87" s="20">
        <v>41443</v>
      </c>
    </row>
    <row r="88" spans="1:18" ht="14.25">
      <c r="A88" s="17">
        <v>2013</v>
      </c>
      <c r="B88" s="18" t="s">
        <v>473</v>
      </c>
      <c r="C88" s="18" t="s">
        <v>474</v>
      </c>
      <c r="D88" s="19">
        <v>1008042</v>
      </c>
      <c r="E88" s="19">
        <v>2</v>
      </c>
      <c r="F88" s="19"/>
      <c r="G88" s="19">
        <v>470</v>
      </c>
      <c r="H88" s="19">
        <v>9.3</v>
      </c>
      <c r="I88" s="19" t="s">
        <v>480</v>
      </c>
      <c r="J88" s="19" t="s">
        <v>481</v>
      </c>
      <c r="K88" s="19" t="b">
        <v>1</v>
      </c>
      <c r="L88" s="15">
        <v>2013</v>
      </c>
      <c r="M88" s="16">
        <v>0.0727</v>
      </c>
      <c r="N88" s="16">
        <v>0.0904</v>
      </c>
      <c r="O88" s="16">
        <v>0.0754</v>
      </c>
      <c r="P88" s="16">
        <v>0.0729</v>
      </c>
      <c r="Q88" s="20">
        <v>41443</v>
      </c>
      <c r="R88" s="20">
        <v>41443</v>
      </c>
    </row>
    <row r="89" spans="1:18" ht="14.25">
      <c r="A89" s="17">
        <v>2013</v>
      </c>
      <c r="B89" s="18" t="s">
        <v>473</v>
      </c>
      <c r="C89" s="18" t="s">
        <v>474</v>
      </c>
      <c r="D89" s="19">
        <v>1008042</v>
      </c>
      <c r="E89" s="19">
        <v>2</v>
      </c>
      <c r="F89" s="19"/>
      <c r="G89" s="19">
        <v>930</v>
      </c>
      <c r="H89" s="19" t="s">
        <v>165</v>
      </c>
      <c r="I89" s="19"/>
      <c r="J89" s="19" t="s">
        <v>166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41443</v>
      </c>
      <c r="R89" s="20">
        <v>41443</v>
      </c>
    </row>
    <row r="90" spans="1:18" ht="14.25">
      <c r="A90" s="17">
        <v>2013</v>
      </c>
      <c r="B90" s="18" t="s">
        <v>473</v>
      </c>
      <c r="C90" s="18" t="s">
        <v>474</v>
      </c>
      <c r="D90" s="19">
        <v>1008042</v>
      </c>
      <c r="E90" s="19">
        <v>2</v>
      </c>
      <c r="F90" s="19"/>
      <c r="G90" s="19">
        <v>480</v>
      </c>
      <c r="H90" s="19">
        <v>9.4</v>
      </c>
      <c r="I90" s="19" t="s">
        <v>479</v>
      </c>
      <c r="J90" s="19" t="s">
        <v>104</v>
      </c>
      <c r="K90" s="19" t="b">
        <v>0</v>
      </c>
      <c r="L90" s="15">
        <v>2013</v>
      </c>
      <c r="M90" s="16">
        <v>0.0727</v>
      </c>
      <c r="N90" s="16">
        <v>0.0904</v>
      </c>
      <c r="O90" s="16">
        <v>0.0754</v>
      </c>
      <c r="P90" s="16">
        <v>0.0729</v>
      </c>
      <c r="Q90" s="20">
        <v>41443</v>
      </c>
      <c r="R90" s="20">
        <v>41443</v>
      </c>
    </row>
    <row r="91" spans="1:18" ht="14.25">
      <c r="A91" s="17">
        <v>2013</v>
      </c>
      <c r="B91" s="18" t="s">
        <v>473</v>
      </c>
      <c r="C91" s="18" t="s">
        <v>474</v>
      </c>
      <c r="D91" s="19">
        <v>1008042</v>
      </c>
      <c r="E91" s="19">
        <v>2</v>
      </c>
      <c r="F91" s="19"/>
      <c r="G91" s="19">
        <v>540</v>
      </c>
      <c r="H91" s="19" t="s">
        <v>113</v>
      </c>
      <c r="I91" s="19" t="s">
        <v>491</v>
      </c>
      <c r="J91" s="19" t="s">
        <v>114</v>
      </c>
      <c r="K91" s="19" t="b">
        <v>0</v>
      </c>
      <c r="L91" s="15">
        <v>2013</v>
      </c>
      <c r="M91" s="16">
        <v>0.0727</v>
      </c>
      <c r="N91" s="16">
        <v>0.0904</v>
      </c>
      <c r="O91" s="16">
        <v>0.0754</v>
      </c>
      <c r="P91" s="16">
        <v>0.0729</v>
      </c>
      <c r="Q91" s="20">
        <v>41443</v>
      </c>
      <c r="R91" s="20">
        <v>41443</v>
      </c>
    </row>
    <row r="92" spans="1:18" ht="14.25">
      <c r="A92" s="17">
        <v>2013</v>
      </c>
      <c r="B92" s="18" t="s">
        <v>473</v>
      </c>
      <c r="C92" s="18" t="s">
        <v>474</v>
      </c>
      <c r="D92" s="19">
        <v>1008042</v>
      </c>
      <c r="E92" s="19">
        <v>2</v>
      </c>
      <c r="F92" s="19"/>
      <c r="G92" s="19">
        <v>760</v>
      </c>
      <c r="H92" s="19">
        <v>12.4</v>
      </c>
      <c r="I92" s="19"/>
      <c r="J92" s="19" t="s">
        <v>144</v>
      </c>
      <c r="K92" s="19" t="b">
        <v>1</v>
      </c>
      <c r="L92" s="15">
        <v>2013</v>
      </c>
      <c r="M92" s="16">
        <v>209764.87</v>
      </c>
      <c r="N92" s="16">
        <v>285447.25</v>
      </c>
      <c r="O92" s="16">
        <v>559468.05</v>
      </c>
      <c r="P92" s="16">
        <v>524881.5</v>
      </c>
      <c r="Q92" s="20">
        <v>41443</v>
      </c>
      <c r="R92" s="20">
        <v>41443</v>
      </c>
    </row>
    <row r="93" spans="1:18" ht="14.25">
      <c r="A93" s="17">
        <v>2013</v>
      </c>
      <c r="B93" s="18" t="s">
        <v>473</v>
      </c>
      <c r="C93" s="18" t="s">
        <v>474</v>
      </c>
      <c r="D93" s="19">
        <v>1008042</v>
      </c>
      <c r="E93" s="19">
        <v>2</v>
      </c>
      <c r="F93" s="19"/>
      <c r="G93" s="19">
        <v>190</v>
      </c>
      <c r="H93" s="19">
        <v>2.2</v>
      </c>
      <c r="I93" s="19"/>
      <c r="J93" s="19" t="s">
        <v>76</v>
      </c>
      <c r="K93" s="19" t="b">
        <v>0</v>
      </c>
      <c r="L93" s="15">
        <v>2013</v>
      </c>
      <c r="M93" s="16">
        <v>3282758.66</v>
      </c>
      <c r="N93" s="16">
        <v>1400443.32</v>
      </c>
      <c r="O93" s="16">
        <v>1739950</v>
      </c>
      <c r="P93" s="16">
        <v>1157216.01</v>
      </c>
      <c r="Q93" s="20">
        <v>41443</v>
      </c>
      <c r="R93" s="20">
        <v>41443</v>
      </c>
    </row>
    <row r="94" spans="1:18" ht="14.25">
      <c r="A94" s="17">
        <v>2013</v>
      </c>
      <c r="B94" s="18" t="s">
        <v>473</v>
      </c>
      <c r="C94" s="18" t="s">
        <v>474</v>
      </c>
      <c r="D94" s="19">
        <v>1008042</v>
      </c>
      <c r="E94" s="19">
        <v>2</v>
      </c>
      <c r="F94" s="19"/>
      <c r="G94" s="19">
        <v>40</v>
      </c>
      <c r="H94" s="19" t="s">
        <v>50</v>
      </c>
      <c r="I94" s="19"/>
      <c r="J94" s="19" t="s">
        <v>51</v>
      </c>
      <c r="K94" s="19" t="b">
        <v>1</v>
      </c>
      <c r="L94" s="15">
        <v>2013</v>
      </c>
      <c r="M94" s="16">
        <v>21346.49</v>
      </c>
      <c r="N94" s="16">
        <v>-130754.16</v>
      </c>
      <c r="O94" s="16">
        <v>40000</v>
      </c>
      <c r="P94" s="16">
        <v>56520.62</v>
      </c>
      <c r="Q94" s="20">
        <v>41443</v>
      </c>
      <c r="R94" s="20">
        <v>41443</v>
      </c>
    </row>
    <row r="95" spans="1:18" ht="14.25">
      <c r="A95" s="17">
        <v>2013</v>
      </c>
      <c r="B95" s="18" t="s">
        <v>473</v>
      </c>
      <c r="C95" s="18" t="s">
        <v>474</v>
      </c>
      <c r="D95" s="19">
        <v>1008042</v>
      </c>
      <c r="E95" s="19">
        <v>2</v>
      </c>
      <c r="F95" s="19"/>
      <c r="G95" s="19">
        <v>510</v>
      </c>
      <c r="H95" s="19">
        <v>9.7</v>
      </c>
      <c r="I95" s="19"/>
      <c r="J95" s="19" t="s">
        <v>482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41443</v>
      </c>
      <c r="R95" s="20">
        <v>41443</v>
      </c>
    </row>
    <row r="96" spans="1:18" ht="14.25">
      <c r="A96" s="17">
        <v>2013</v>
      </c>
      <c r="B96" s="18" t="s">
        <v>473</v>
      </c>
      <c r="C96" s="18" t="s">
        <v>474</v>
      </c>
      <c r="D96" s="19">
        <v>1008042</v>
      </c>
      <c r="E96" s="19">
        <v>2</v>
      </c>
      <c r="F96" s="19"/>
      <c r="G96" s="19">
        <v>505</v>
      </c>
      <c r="H96" s="19" t="s">
        <v>107</v>
      </c>
      <c r="I96" s="19" t="s">
        <v>478</v>
      </c>
      <c r="J96" s="19" t="s">
        <v>108</v>
      </c>
      <c r="K96" s="19" t="b">
        <v>0</v>
      </c>
      <c r="L96" s="15">
        <v>2013</v>
      </c>
      <c r="M96" s="16">
        <v>0.0626</v>
      </c>
      <c r="N96" s="16">
        <v>0.0914</v>
      </c>
      <c r="O96" s="16">
        <v>0.0107</v>
      </c>
      <c r="P96" s="16">
        <v>0.0942</v>
      </c>
      <c r="Q96" s="20">
        <v>41443</v>
      </c>
      <c r="R96" s="20">
        <v>41443</v>
      </c>
    </row>
    <row r="97" spans="1:18" ht="14.25">
      <c r="A97" s="17">
        <v>2013</v>
      </c>
      <c r="B97" s="18" t="s">
        <v>473</v>
      </c>
      <c r="C97" s="18" t="s">
        <v>474</v>
      </c>
      <c r="D97" s="19">
        <v>1008042</v>
      </c>
      <c r="E97" s="19">
        <v>2</v>
      </c>
      <c r="F97" s="19"/>
      <c r="G97" s="19">
        <v>140</v>
      </c>
      <c r="H97" s="19" t="s">
        <v>66</v>
      </c>
      <c r="I97" s="19"/>
      <c r="J97" s="19" t="s">
        <v>67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41443</v>
      </c>
      <c r="R97" s="20">
        <v>41443</v>
      </c>
    </row>
    <row r="98" spans="1:18" ht="14.25">
      <c r="A98" s="17">
        <v>2013</v>
      </c>
      <c r="B98" s="18" t="s">
        <v>473</v>
      </c>
      <c r="C98" s="18" t="s">
        <v>474</v>
      </c>
      <c r="D98" s="19">
        <v>1008042</v>
      </c>
      <c r="E98" s="19">
        <v>2</v>
      </c>
      <c r="F98" s="19"/>
      <c r="G98" s="19">
        <v>740</v>
      </c>
      <c r="H98" s="19" t="s">
        <v>140</v>
      </c>
      <c r="I98" s="19"/>
      <c r="J98" s="19" t="s">
        <v>141</v>
      </c>
      <c r="K98" s="19" t="b">
        <v>0</v>
      </c>
      <c r="L98" s="15">
        <v>2013</v>
      </c>
      <c r="M98" s="16">
        <v>182966.04</v>
      </c>
      <c r="N98" s="16">
        <v>194043.54</v>
      </c>
      <c r="O98" s="16">
        <v>318803.51</v>
      </c>
      <c r="P98" s="16">
        <v>304034.2</v>
      </c>
      <c r="Q98" s="20">
        <v>41443</v>
      </c>
      <c r="R98" s="20">
        <v>41443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RadaGminy</cp:lastModifiedBy>
  <cp:lastPrinted>2013-06-12T11:12:33Z</cp:lastPrinted>
  <dcterms:created xsi:type="dcterms:W3CDTF">2010-09-17T02:30:46Z</dcterms:created>
  <dcterms:modified xsi:type="dcterms:W3CDTF">2013-06-20T11:41:22Z</dcterms:modified>
  <cp:category/>
  <cp:version/>
  <cp:contentType/>
  <cp:contentStatus/>
</cp:coreProperties>
</file>